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https://theermgroup-my.sharepoint.com/personal/lois_sevestre_erm_com/Documents/ISC - 2023 - (INTERNAL) Biomass guidelines project (TH, VN, CB)/6 - Deliverables/Final Nov. 2023/"/>
    </mc:Choice>
  </mc:AlternateContent>
  <xr:revisionPtr revIDLastSave="217" documentId="8_{5FED143C-1A68-4D08-B540-F2DE20209AE5}" xr6:coauthVersionLast="47" xr6:coauthVersionMax="47" xr10:uidLastSave="{6967FD37-AB2E-4C11-9576-D277748E95F3}"/>
  <bookViews>
    <workbookView xWindow="28680" yWindow="-120" windowWidth="29040" windowHeight="15840" tabRatio="662" firstSheet="2" activeTab="2" xr2:uid="{A058A4BC-72D9-46C6-A8AE-FE5B3D5145B1}"/>
  </bookViews>
  <sheets>
    <sheet name="Instructions" sheetId="2" r:id="rId1"/>
    <sheet name="Screening questions" sheetId="12" state="hidden" r:id="rId2"/>
    <sheet name="Overview" sheetId="20" r:id="rId3"/>
    <sheet name="Lists" sheetId="7" state="hidden" r:id="rId4"/>
    <sheet name="Matrix" sheetId="24" state="hidden" r:id="rId5"/>
    <sheet name="Basic Assessment (Sample) " sheetId="29" state="hidden" r:id="rId6"/>
    <sheet name="1 - Pre-screening Assessment" sheetId="42" r:id="rId7"/>
    <sheet name="2 - Basic Assessment (Opt 1)" sheetId="35" r:id="rId8"/>
    <sheet name="2 - Basic Assessment (Opt 2)" sheetId="40" r:id="rId9"/>
    <sheet name="2 - Basic Assessement Results" sheetId="37" r:id="rId10"/>
    <sheet name="3 - Detailed Assessment (Opt 1)" sheetId="25" r:id="rId11"/>
    <sheet name="3 - Detailed Assessment (Opt 2)" sheetId="41" r:id="rId12"/>
    <sheet name="3 - Detailed Asessement Results" sheetId="31" r:id="rId13"/>
  </sheets>
  <externalReferences>
    <externalReference r:id="rId14"/>
  </externalReferences>
  <definedNames>
    <definedName name="_xlnm._FilterDatabase" localSheetId="7" hidden="1">'2 - Basic Assessment (Opt 1)'!$A$4:$V$28</definedName>
    <definedName name="_xlnm._FilterDatabase" localSheetId="8" hidden="1">'2 - Basic Assessment (Opt 2)'!$A$4:$V$23</definedName>
    <definedName name="_xlnm._FilterDatabase" localSheetId="10" hidden="1">'3 - Detailed Assessment (Opt 1)'!$A$4:$V$36</definedName>
    <definedName name="_xlnm._FilterDatabase" localSheetId="11" hidden="1">'3 - Detailed Assessment (Opt 2)'!$A$4:$V$36</definedName>
    <definedName name="_xlnm._FilterDatabase" localSheetId="5" hidden="1">'Basic Assessment (Sample) '!$A$4:$Q$37</definedName>
    <definedName name="_xlnm._FilterDatabase" localSheetId="2" hidden="1">Overview!$C$12:$D$17</definedName>
    <definedName name="Animal_manures_as_residues_from_livestock_processes">Lists!$I$14:$I$17</definedName>
    <definedName name="AQ_1">Lists!$C$59:$C$61</definedName>
    <definedName name="AQ_2">Lists!$C$62:$C$63</definedName>
    <definedName name="AQ_3">Lists!$C$64</definedName>
    <definedName name="AQ_3A">Lists!$I$64</definedName>
    <definedName name="Final_Product_type" localSheetId="7">[1]Lists!$A$3:$A$5</definedName>
    <definedName name="Final_Product_type" localSheetId="8">[1]Lists!$A$3:$A$5</definedName>
    <definedName name="Final_Product_type" localSheetId="10">[1]Lists!$A$3:$A$5</definedName>
    <definedName name="Final_Product_type" localSheetId="11">[1]Lists!$A$3:$A$5</definedName>
    <definedName name="Final_Product_type" localSheetId="5">[1]Lists!$A$3:$A$5</definedName>
    <definedName name="Final_Product_type">Lists!$C$3:$C$5</definedName>
    <definedName name="Gas">Lists!$D$3:$D$5</definedName>
    <definedName name="GHG_1">Lists!$C$43:$C$45</definedName>
    <definedName name="GHG_2">Lists!$C$46:$C$47</definedName>
    <definedName name="GHG_2A">Lists!$I$46:$I$47</definedName>
    <definedName name="GHG_3">Lists!$C$48:$C$50</definedName>
    <definedName name="GHG_3A">Lists!$I$48:$I$49</definedName>
    <definedName name="HR_1">Lists!$C$65:$C$68</definedName>
    <definedName name="HR_1A">Lists!$I$65:$I$66</definedName>
    <definedName name="HR_2">Lists!$C$69</definedName>
    <definedName name="HR_2A">Lists!$I$69</definedName>
    <definedName name="HR_3">Lists!$C$70:$C$71</definedName>
    <definedName name="HR_3A">Lists!$I$70</definedName>
    <definedName name="HR_4">Lists!$C$72:$C$73</definedName>
    <definedName name="HR_5">Lists!$C$74:$C$76</definedName>
    <definedName name="HR_5A">Lists!$I$74:$I$75</definedName>
    <definedName name="Liquid">Lists!$E$3:$E$4</definedName>
    <definedName name="NR_1">Lists!$C$51:$C$52</definedName>
    <definedName name="NR_1A">Lists!$I$51:$I$52</definedName>
    <definedName name="NR_2">Lists!$C$53:$C$54</definedName>
    <definedName name="NR_2A">Lists!$I$53:$I$54</definedName>
    <definedName name="NR_3">Lists!$C$55:$C$56</definedName>
    <definedName name="NR_3A">Lists!$I$55:$I$56</definedName>
    <definedName name="NR_4">Lists!$C$57:$C$58</definedName>
    <definedName name="Organic_waste_from_Industries_and_Municipal_Solid_Waste">Lists!$H$14:$H$20</definedName>
    <definedName name="Orginal_Biomass_Source" localSheetId="7">[1]Lists!$A$14:$A$18</definedName>
    <definedName name="Orginal_Biomass_Source" localSheetId="8">[1]Lists!$A$14:$A$18</definedName>
    <definedName name="Orginal_Biomass_Source" localSheetId="10">[1]Lists!$A$14:$A$18</definedName>
    <definedName name="Orginal_Biomass_Source" localSheetId="11">[1]Lists!$A$14:$A$18</definedName>
    <definedName name="Orginal_Biomass_Source" localSheetId="5">[1]Lists!$A$14:$A$18</definedName>
    <definedName name="Orginal_Biomass_Source">Lists!$C$14:$C$18</definedName>
    <definedName name="Primary_products_from_crops_used_for_food_and_energy">Lists!$D$14:$D$24</definedName>
    <definedName name="_xlnm.Print_Area" localSheetId="7">'2 - Basic Assessment (Opt 1)'!$A$1:$T$33</definedName>
    <definedName name="_xlnm.Print_Area" localSheetId="8">'2 - Basic Assessment (Opt 2)'!$A$1:$T$29</definedName>
    <definedName name="_xlnm.Print_Area" localSheetId="0">Instructions!$A$1:$N$37</definedName>
    <definedName name="_xlnm.Print_Area" localSheetId="2">Overview!$A$1:$H$50</definedName>
    <definedName name="SD_1">Lists!$C$77:$C$78</definedName>
    <definedName name="SD_1A">Lists!$I$77:$I$78</definedName>
    <definedName name="SD_2">Lists!$C$79:$C$81</definedName>
    <definedName name="SD_2A">Lists!$I$79</definedName>
    <definedName name="Solid">Lists!$F$3:$F$9</definedName>
    <definedName name="Solid_agricultural_waste">Lists!$F$14:$F$19</definedName>
    <definedName name="Solid_wood_and_other_products_extracted_from_forests">Lists!$G$14:$G$17</definedName>
    <definedName name="Treatment" localSheetId="7">[1]Lists!$H$3:$H$10</definedName>
    <definedName name="Treatment" localSheetId="8">[1]Lists!$H$3:$H$10</definedName>
    <definedName name="Treatment" localSheetId="10">[1]Lists!$H$3:$H$10</definedName>
    <definedName name="Treatment" localSheetId="11">[1]Lists!$H$3:$H$10</definedName>
    <definedName name="Treatment" localSheetId="5">[1]Lists!$H$3:$H$10</definedName>
    <definedName name="Treatment">Lists!$J$3:$J$10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41" l="1"/>
  <c r="J36" i="41" s="1"/>
  <c r="I36" i="25"/>
  <c r="E2" i="42"/>
  <c r="G2" i="42"/>
  <c r="H53" i="20"/>
  <c r="H55" i="20" s="1"/>
  <c r="G53" i="20"/>
  <c r="G54" i="20" s="1"/>
  <c r="I28" i="40"/>
  <c r="J28" i="40" s="1"/>
  <c r="I27" i="40"/>
  <c r="J27" i="40" s="1"/>
  <c r="I26" i="40"/>
  <c r="J26" i="40" s="1"/>
  <c r="I25" i="40"/>
  <c r="J25" i="40" s="1"/>
  <c r="I24" i="40"/>
  <c r="J24" i="40" s="1"/>
  <c r="I23" i="40"/>
  <c r="J23" i="40" s="1"/>
  <c r="I22" i="40"/>
  <c r="J22" i="40" s="1"/>
  <c r="I21" i="40" a="1"/>
  <c r="I21" i="40" s="1"/>
  <c r="J21" i="40" s="1"/>
  <c r="I20" i="40" a="1"/>
  <c r="I20" i="40" s="1"/>
  <c r="J20" i="40" s="1"/>
  <c r="I18" i="40" a="1"/>
  <c r="I18" i="40" s="1"/>
  <c r="J18" i="40" s="1"/>
  <c r="I17" i="40"/>
  <c r="I16" i="40"/>
  <c r="J16" i="40" s="1"/>
  <c r="I13" i="40"/>
  <c r="J13" i="40" s="1"/>
  <c r="I11" i="40" a="1"/>
  <c r="I11" i="40" s="1"/>
  <c r="J11" i="40" s="1"/>
  <c r="I10" i="40" a="1"/>
  <c r="I10" i="40" s="1"/>
  <c r="J10" i="40" s="1"/>
  <c r="I9" i="40" a="1"/>
  <c r="I9" i="40" s="1"/>
  <c r="J9" i="40" s="1"/>
  <c r="I8" i="40" a="1"/>
  <c r="I8" i="40" s="1"/>
  <c r="J8" i="40" s="1"/>
  <c r="I7" i="40" a="1"/>
  <c r="I7" i="40" s="1"/>
  <c r="J7" i="40" s="1"/>
  <c r="I6" i="40" a="1"/>
  <c r="I6" i="40" s="1"/>
  <c r="J6" i="40" s="1"/>
  <c r="I17" i="35"/>
  <c r="I13" i="35"/>
  <c r="J13" i="35" s="1"/>
  <c r="I35" i="41" a="1"/>
  <c r="I35" i="41" s="1"/>
  <c r="J35" i="41" s="1"/>
  <c r="I34" i="41"/>
  <c r="J34" i="41" s="1"/>
  <c r="I33" i="41"/>
  <c r="J33" i="41" s="1"/>
  <c r="J32" i="41"/>
  <c r="I32" i="41"/>
  <c r="I31" i="41"/>
  <c r="J31" i="41" s="1"/>
  <c r="I30" i="41"/>
  <c r="J30" i="41" s="1"/>
  <c r="I29" i="41"/>
  <c r="J29" i="41" s="1"/>
  <c r="I28" i="41" a="1"/>
  <c r="I28" i="41" s="1"/>
  <c r="J28" i="41" s="1"/>
  <c r="I27" i="41" a="1"/>
  <c r="I27" i="41" s="1"/>
  <c r="J27" i="41" s="1"/>
  <c r="I26" i="41"/>
  <c r="J26" i="41" s="1"/>
  <c r="I25" i="41"/>
  <c r="J25" i="41" s="1"/>
  <c r="I24" i="41"/>
  <c r="J24" i="41" s="1"/>
  <c r="I23" i="41"/>
  <c r="I22" i="41" a="1"/>
  <c r="I22" i="41" s="1"/>
  <c r="J22" i="41" s="1"/>
  <c r="M21" i="41"/>
  <c r="I21" i="41"/>
  <c r="I20" i="41"/>
  <c r="J20" i="41" s="1"/>
  <c r="I19" i="41"/>
  <c r="J19" i="41" s="1"/>
  <c r="I18" i="41" a="1"/>
  <c r="I18" i="41" s="1"/>
  <c r="J18" i="41" s="1"/>
  <c r="I17" i="41" a="1"/>
  <c r="I17" i="41" s="1"/>
  <c r="J17" i="41" s="1"/>
  <c r="I16" i="41"/>
  <c r="J16" i="41" s="1"/>
  <c r="I15" i="41" a="1"/>
  <c r="I15" i="41" s="1"/>
  <c r="J15" i="41" s="1"/>
  <c r="I14" i="41"/>
  <c r="J14" i="41" s="1"/>
  <c r="I13" i="41" a="1"/>
  <c r="I13" i="41" s="1"/>
  <c r="J13" i="41" s="1"/>
  <c r="I12" i="41" a="1"/>
  <c r="I12" i="41" s="1"/>
  <c r="J12" i="41" s="1"/>
  <c r="I11" i="41" a="1"/>
  <c r="I11" i="41" s="1"/>
  <c r="J11" i="41" s="1"/>
  <c r="I10" i="41" a="1"/>
  <c r="I10" i="41" s="1"/>
  <c r="J10" i="41" s="1"/>
  <c r="I9" i="41" a="1"/>
  <c r="I9" i="41" s="1"/>
  <c r="J9" i="41" s="1"/>
  <c r="I8" i="41" a="1"/>
  <c r="I8" i="41" s="1"/>
  <c r="J8" i="41" s="1"/>
  <c r="I7" i="41"/>
  <c r="J7" i="41" s="1"/>
  <c r="I6" i="41"/>
  <c r="J6" i="41" s="1"/>
  <c r="I5" i="41"/>
  <c r="J5" i="41" s="1"/>
  <c r="I16" i="35"/>
  <c r="I28" i="35"/>
  <c r="F50" i="31"/>
  <c r="D50" i="31"/>
  <c r="F49" i="31"/>
  <c r="D49" i="31"/>
  <c r="F48" i="31"/>
  <c r="D48" i="31"/>
  <c r="F47" i="31"/>
  <c r="D47" i="31"/>
  <c r="F46" i="31"/>
  <c r="D46" i="31"/>
  <c r="F45" i="31"/>
  <c r="D45" i="31"/>
  <c r="F46" i="37"/>
  <c r="F45" i="37"/>
  <c r="F44" i="37"/>
  <c r="F43" i="37"/>
  <c r="F42" i="37"/>
  <c r="F41" i="37"/>
  <c r="D46" i="37"/>
  <c r="D45" i="37"/>
  <c r="D44" i="37"/>
  <c r="D43" i="37"/>
  <c r="D42" i="37"/>
  <c r="D41" i="37"/>
  <c r="G46" i="42"/>
  <c r="G45" i="42"/>
  <c r="G44" i="42"/>
  <c r="G43" i="42"/>
  <c r="G42" i="42"/>
  <c r="G41" i="42"/>
  <c r="E46" i="42"/>
  <c r="E45" i="42"/>
  <c r="E44" i="42"/>
  <c r="E43" i="42"/>
  <c r="E42" i="42"/>
  <c r="E41" i="42"/>
  <c r="E6" i="42"/>
  <c r="G8" i="42"/>
  <c r="G7" i="42"/>
  <c r="G6" i="42"/>
  <c r="B14" i="35"/>
  <c r="D29" i="24"/>
  <c r="D30" i="24"/>
  <c r="D31" i="24"/>
  <c r="D32" i="24"/>
  <c r="D33" i="24"/>
  <c r="D34" i="24"/>
  <c r="D35" i="24"/>
  <c r="D36" i="24"/>
  <c r="D37" i="24"/>
  <c r="D38" i="24"/>
  <c r="D39" i="24"/>
  <c r="D40" i="24"/>
  <c r="D41" i="24"/>
  <c r="D42" i="24"/>
  <c r="D43" i="24"/>
  <c r="D44" i="24"/>
  <c r="D28" i="24"/>
  <c r="C52" i="42"/>
  <c r="C53" i="42"/>
  <c r="C54" i="42"/>
  <c r="C55" i="42"/>
  <c r="C56" i="42"/>
  <c r="C57" i="42"/>
  <c r="C58" i="42"/>
  <c r="C59" i="42"/>
  <c r="C60" i="42"/>
  <c r="C61" i="42"/>
  <c r="C62" i="42"/>
  <c r="C63" i="42"/>
  <c r="C64" i="42"/>
  <c r="C65" i="42"/>
  <c r="C66" i="42"/>
  <c r="C67" i="42"/>
  <c r="C51" i="42"/>
  <c r="C16" i="42"/>
  <c r="C17" i="42"/>
  <c r="C18" i="42"/>
  <c r="C19" i="42"/>
  <c r="C20" i="42"/>
  <c r="C21" i="42"/>
  <c r="C22" i="42"/>
  <c r="C23" i="42"/>
  <c r="C24" i="42"/>
  <c r="C25" i="42"/>
  <c r="C26" i="42"/>
  <c r="C27" i="42"/>
  <c r="C28" i="42"/>
  <c r="C29" i="42"/>
  <c r="C30" i="42"/>
  <c r="C31" i="42"/>
  <c r="C32" i="42"/>
  <c r="G37" i="42"/>
  <c r="E37" i="42"/>
  <c r="E51" i="42" s="1"/>
  <c r="C55" i="31"/>
  <c r="C56" i="31"/>
  <c r="C57" i="31"/>
  <c r="C58" i="31"/>
  <c r="C59" i="31"/>
  <c r="C60" i="31"/>
  <c r="C61" i="31"/>
  <c r="C62" i="31"/>
  <c r="C63" i="31"/>
  <c r="C64" i="31"/>
  <c r="C65" i="31"/>
  <c r="C66" i="31"/>
  <c r="C67" i="31"/>
  <c r="C68" i="31"/>
  <c r="C69" i="31"/>
  <c r="C70" i="31"/>
  <c r="C54" i="31"/>
  <c r="C18" i="31"/>
  <c r="F9" i="31"/>
  <c r="F9" i="37"/>
  <c r="F10" i="37"/>
  <c r="G9" i="42"/>
  <c r="G10" i="42"/>
  <c r="G11" i="42"/>
  <c r="I28" i="25" a="1"/>
  <c r="I28" i="25" s="1"/>
  <c r="I21" i="35" a="1"/>
  <c r="I21" i="35" s="1"/>
  <c r="I35" i="25" a="1"/>
  <c r="I35" i="25" s="1"/>
  <c r="I27" i="25" a="1"/>
  <c r="I27" i="25" s="1"/>
  <c r="I18" i="25" a="1"/>
  <c r="I18" i="25" s="1"/>
  <c r="I17" i="25" a="1"/>
  <c r="I17" i="25" s="1"/>
  <c r="I15" i="25" a="1"/>
  <c r="I15" i="25" s="1"/>
  <c r="I12" i="25" a="1"/>
  <c r="I12" i="25" s="1"/>
  <c r="I13" i="25" a="1"/>
  <c r="I13" i="25" s="1"/>
  <c r="I20" i="35" a="1"/>
  <c r="I20" i="35" s="1"/>
  <c r="I11" i="35" a="1"/>
  <c r="I11" i="35" s="1"/>
  <c r="I10" i="35" a="1"/>
  <c r="I10" i="35" s="1"/>
  <c r="I9" i="35" a="1"/>
  <c r="I9" i="35" s="1"/>
  <c r="B28" i="40"/>
  <c r="B21" i="40"/>
  <c r="B20" i="40"/>
  <c r="B19" i="40"/>
  <c r="B18" i="40"/>
  <c r="B17" i="40"/>
  <c r="B16" i="40"/>
  <c r="B15" i="40"/>
  <c r="B14" i="40"/>
  <c r="B13" i="40"/>
  <c r="B12" i="40"/>
  <c r="B11" i="40"/>
  <c r="B10" i="40"/>
  <c r="B9" i="40"/>
  <c r="B8" i="40"/>
  <c r="B6" i="40"/>
  <c r="B5" i="40"/>
  <c r="L51" i="37"/>
  <c r="L52" i="37"/>
  <c r="L53" i="37"/>
  <c r="C18" i="37"/>
  <c r="C51" i="37" s="1"/>
  <c r="J51" i="37" s="1"/>
  <c r="L67" i="37"/>
  <c r="L66" i="37"/>
  <c r="L65" i="37"/>
  <c r="L64" i="37"/>
  <c r="L63" i="37"/>
  <c r="L62" i="37"/>
  <c r="L61" i="37"/>
  <c r="L60" i="37"/>
  <c r="L59" i="37"/>
  <c r="L58" i="37"/>
  <c r="L57" i="37"/>
  <c r="L56" i="37"/>
  <c r="L55" i="37"/>
  <c r="L54" i="37"/>
  <c r="L55" i="31"/>
  <c r="L56" i="31"/>
  <c r="L57" i="31"/>
  <c r="L58" i="31"/>
  <c r="L59" i="31"/>
  <c r="L60" i="31"/>
  <c r="L61" i="31"/>
  <c r="L62" i="31"/>
  <c r="L63" i="31"/>
  <c r="L64" i="31"/>
  <c r="L65" i="31"/>
  <c r="L66" i="31"/>
  <c r="L67" i="31"/>
  <c r="L68" i="31"/>
  <c r="L69" i="31"/>
  <c r="L70" i="31"/>
  <c r="L54" i="31"/>
  <c r="B8" i="41"/>
  <c r="L19" i="31"/>
  <c r="L20" i="31"/>
  <c r="L21" i="31"/>
  <c r="L22" i="31"/>
  <c r="L23" i="31"/>
  <c r="L24" i="31"/>
  <c r="L25" i="31"/>
  <c r="L26" i="31"/>
  <c r="L27" i="31"/>
  <c r="L28" i="31"/>
  <c r="L29" i="31"/>
  <c r="L30" i="31"/>
  <c r="L31" i="31"/>
  <c r="L32" i="31"/>
  <c r="L33" i="31"/>
  <c r="L34" i="31"/>
  <c r="L18" i="31"/>
  <c r="L18" i="37"/>
  <c r="B8" i="25"/>
  <c r="C19" i="31"/>
  <c r="C20" i="31"/>
  <c r="C21" i="31"/>
  <c r="C22" i="31"/>
  <c r="C23" i="31"/>
  <c r="C24" i="31"/>
  <c r="C25" i="31"/>
  <c r="C26" i="31"/>
  <c r="C27" i="31"/>
  <c r="C28" i="31"/>
  <c r="C29" i="31"/>
  <c r="C30" i="31"/>
  <c r="C31" i="31"/>
  <c r="C32" i="31"/>
  <c r="C33" i="31"/>
  <c r="C34" i="31"/>
  <c r="F14" i="31"/>
  <c r="D14" i="31"/>
  <c r="F13" i="31"/>
  <c r="D13" i="31"/>
  <c r="F12" i="31"/>
  <c r="D12" i="31"/>
  <c r="F11" i="31"/>
  <c r="D11" i="31"/>
  <c r="F10" i="31"/>
  <c r="D10" i="31"/>
  <c r="D9" i="31"/>
  <c r="B35" i="41"/>
  <c r="B28" i="41"/>
  <c r="B24" i="41"/>
  <c r="B23" i="41"/>
  <c r="B22" i="41"/>
  <c r="B21" i="41"/>
  <c r="B19" i="41"/>
  <c r="B18" i="41"/>
  <c r="B17" i="41"/>
  <c r="B16" i="41"/>
  <c r="B15" i="41"/>
  <c r="B13" i="41"/>
  <c r="B12" i="41"/>
  <c r="B11" i="41"/>
  <c r="B10" i="41"/>
  <c r="B5" i="41"/>
  <c r="B35" i="25"/>
  <c r="B28" i="25"/>
  <c r="B24" i="25"/>
  <c r="B22" i="25"/>
  <c r="B23" i="25"/>
  <c r="B21" i="25"/>
  <c r="B19" i="25"/>
  <c r="B18" i="25"/>
  <c r="B16" i="25"/>
  <c r="B17" i="25"/>
  <c r="B15" i="25"/>
  <c r="B13" i="25"/>
  <c r="B12" i="25"/>
  <c r="B11" i="25"/>
  <c r="B10" i="25"/>
  <c r="B5" i="25"/>
  <c r="B5" i="35"/>
  <c r="L21" i="37"/>
  <c r="L20" i="37"/>
  <c r="L19" i="37"/>
  <c r="L22" i="37"/>
  <c r="L23" i="37"/>
  <c r="L24" i="37"/>
  <c r="L25" i="37"/>
  <c r="L26" i="37"/>
  <c r="L27" i="37"/>
  <c r="L28" i="37"/>
  <c r="L29" i="37"/>
  <c r="L30" i="37"/>
  <c r="L31" i="37"/>
  <c r="L32" i="37"/>
  <c r="L33" i="37"/>
  <c r="L34" i="37"/>
  <c r="C19" i="37"/>
  <c r="C52" i="37" s="1"/>
  <c r="C20" i="37"/>
  <c r="C53" i="37" s="1"/>
  <c r="C21" i="37"/>
  <c r="C54" i="37" s="1"/>
  <c r="C22" i="37"/>
  <c r="C55" i="37" s="1"/>
  <c r="C23" i="37"/>
  <c r="C56" i="37" s="1"/>
  <c r="C24" i="37"/>
  <c r="C57" i="37" s="1"/>
  <c r="C25" i="37"/>
  <c r="C58" i="37" s="1"/>
  <c r="C26" i="37"/>
  <c r="C59" i="37" s="1"/>
  <c r="C27" i="37"/>
  <c r="C60" i="37" s="1"/>
  <c r="C28" i="37"/>
  <c r="C61" i="37" s="1"/>
  <c r="C29" i="37"/>
  <c r="C62" i="37" s="1"/>
  <c r="C30" i="37"/>
  <c r="C63" i="37" s="1"/>
  <c r="C31" i="37"/>
  <c r="C64" i="37" s="1"/>
  <c r="C32" i="37"/>
  <c r="C65" i="37" s="1"/>
  <c r="C33" i="37"/>
  <c r="C66" i="37" s="1"/>
  <c r="C34" i="37"/>
  <c r="C67" i="37" s="1"/>
  <c r="G65" i="20" l="1"/>
  <c r="G61" i="20"/>
  <c r="H70" i="20"/>
  <c r="G60" i="20"/>
  <c r="G57" i="20"/>
  <c r="G69" i="20"/>
  <c r="G68" i="20"/>
  <c r="G67" i="20"/>
  <c r="G59" i="20"/>
  <c r="G66" i="20"/>
  <c r="G58" i="20"/>
  <c r="G64" i="20"/>
  <c r="G56" i="20"/>
  <c r="G63" i="20"/>
  <c r="G55" i="20"/>
  <c r="G70" i="20"/>
  <c r="G62" i="20"/>
  <c r="E65" i="42"/>
  <c r="F65" i="42" s="1" a="1"/>
  <c r="F65" i="42" s="1"/>
  <c r="J65" i="42" s="1"/>
  <c r="K65" i="42" s="1"/>
  <c r="H62" i="20"/>
  <c r="H69" i="20"/>
  <c r="H61" i="20"/>
  <c r="H68" i="20"/>
  <c r="H60" i="20"/>
  <c r="H67" i="20"/>
  <c r="H59" i="20"/>
  <c r="H66" i="20"/>
  <c r="H58" i="20"/>
  <c r="H65" i="20"/>
  <c r="H57" i="20"/>
  <c r="H64" i="20"/>
  <c r="H56" i="20"/>
  <c r="H54" i="20"/>
  <c r="H63" i="20"/>
  <c r="J23" i="41"/>
  <c r="J21" i="41"/>
  <c r="K21" i="41" s="1"/>
  <c r="I65" i="31" s="1"/>
  <c r="E52" i="42"/>
  <c r="F52" i="42" s="1" a="1"/>
  <c r="F52" i="42" s="1"/>
  <c r="J52" i="42" s="1"/>
  <c r="E62" i="42"/>
  <c r="F62" i="42" s="1" a="1"/>
  <c r="F62" i="42" s="1"/>
  <c r="J57" i="37"/>
  <c r="J59" i="37"/>
  <c r="E58" i="42"/>
  <c r="E61" i="42"/>
  <c r="E60" i="42"/>
  <c r="F60" i="42" s="1" a="1"/>
  <c r="F60" i="42" s="1"/>
  <c r="J60" i="42" s="1"/>
  <c r="E59" i="42"/>
  <c r="E57" i="42"/>
  <c r="E54" i="42"/>
  <c r="E67" i="42"/>
  <c r="F67" i="42" s="1" a="1"/>
  <c r="F67" i="42" s="1"/>
  <c r="J67" i="42" s="1"/>
  <c r="E53" i="42"/>
  <c r="F53" i="42" s="1" a="1"/>
  <c r="F53" i="42" s="1"/>
  <c r="J53" i="42" s="1"/>
  <c r="E66" i="42"/>
  <c r="E64" i="42"/>
  <c r="E56" i="42"/>
  <c r="E63" i="42"/>
  <c r="E55" i="42"/>
  <c r="F51" i="42" a="1"/>
  <c r="F51" i="42" s="1"/>
  <c r="J51" i="42" s="1"/>
  <c r="K51" i="42" s="1"/>
  <c r="J65" i="31"/>
  <c r="J60" i="37"/>
  <c r="J18" i="37"/>
  <c r="B28" i="35"/>
  <c r="B21" i="35"/>
  <c r="B20" i="35"/>
  <c r="B19" i="35"/>
  <c r="B18" i="35"/>
  <c r="B17" i="35"/>
  <c r="B16" i="35"/>
  <c r="B15" i="35"/>
  <c r="B13" i="35"/>
  <c r="B12" i="35"/>
  <c r="B11" i="35"/>
  <c r="B10" i="35"/>
  <c r="B9" i="35"/>
  <c r="B8" i="35"/>
  <c r="B6" i="35"/>
  <c r="D9" i="37"/>
  <c r="D10" i="37"/>
  <c r="D11" i="37"/>
  <c r="F11" i="37"/>
  <c r="D12" i="37"/>
  <c r="F12" i="37"/>
  <c r="D13" i="37"/>
  <c r="F13" i="37"/>
  <c r="D14" i="37"/>
  <c r="F14" i="37"/>
  <c r="E7" i="42"/>
  <c r="E8" i="42"/>
  <c r="E9" i="42"/>
  <c r="E10" i="42"/>
  <c r="E11" i="42"/>
  <c r="G71" i="20" l="1"/>
  <c r="H71" i="20"/>
  <c r="F61" i="42" a="1"/>
  <c r="F61" i="42" s="1"/>
  <c r="J61" i="42" s="1"/>
  <c r="K61" i="42" s="1"/>
  <c r="K67" i="42"/>
  <c r="K53" i="42"/>
  <c r="F58" i="42" a="1"/>
  <c r="F58" i="42" s="1"/>
  <c r="J58" i="42" s="1"/>
  <c r="K58" i="42" s="1"/>
  <c r="F66" i="42" a="1"/>
  <c r="F66" i="42" s="1"/>
  <c r="J66" i="42" s="1"/>
  <c r="K66" i="42" s="1"/>
  <c r="F55" i="42" a="1"/>
  <c r="F55" i="42" s="1"/>
  <c r="J55" i="42" s="1"/>
  <c r="K55" i="42" s="1"/>
  <c r="F54" i="42" a="1"/>
  <c r="F54" i="42" s="1"/>
  <c r="J54" i="42" s="1"/>
  <c r="K54" i="42" s="1"/>
  <c r="F63" i="42" a="1"/>
  <c r="F63" i="42" s="1"/>
  <c r="J63" i="42" s="1"/>
  <c r="K63" i="42" s="1"/>
  <c r="F57" i="42" a="1"/>
  <c r="F57" i="42" s="1"/>
  <c r="J57" i="42" s="1"/>
  <c r="K52" i="42"/>
  <c r="F56" i="42" a="1"/>
  <c r="F56" i="42" s="1"/>
  <c r="J56" i="42" s="1"/>
  <c r="K56" i="42" s="1"/>
  <c r="F59" i="42" a="1"/>
  <c r="F59" i="42" s="1"/>
  <c r="J59" i="42" s="1"/>
  <c r="K59" i="42" s="1"/>
  <c r="F64" i="42" a="1"/>
  <c r="F64" i="42" s="1"/>
  <c r="J64" i="42" s="1"/>
  <c r="K64" i="42" s="1"/>
  <c r="K60" i="42"/>
  <c r="J27" i="37"/>
  <c r="J24" i="37"/>
  <c r="J26" i="37"/>
  <c r="I11" i="25" a="1"/>
  <c r="I11" i="25" s="1"/>
  <c r="I16" i="25"/>
  <c r="E22" i="20"/>
  <c r="D22" i="20"/>
  <c r="I24" i="25"/>
  <c r="I25" i="25"/>
  <c r="I26" i="25"/>
  <c r="I23" i="25"/>
  <c r="J23" i="25" s="1"/>
  <c r="I21" i="25"/>
  <c r="J62" i="42" l="1"/>
  <c r="K62" i="42" s="1"/>
  <c r="H68" i="42" s="1"/>
  <c r="J21" i="25"/>
  <c r="K57" i="42"/>
  <c r="I10" i="25" a="1"/>
  <c r="I10" i="25" s="1"/>
  <c r="I8" i="35" a="1"/>
  <c r="I8" i="35" s="1"/>
  <c r="I7" i="35" a="1"/>
  <c r="I7" i="35" s="1"/>
  <c r="F38" i="37"/>
  <c r="G38" i="37"/>
  <c r="M21" i="25" l="1"/>
  <c r="E23" i="42" l="1"/>
  <c r="E31" i="42"/>
  <c r="F31" i="42" s="1" a="1"/>
  <c r="F31" i="42" s="1"/>
  <c r="J31" i="42" s="1"/>
  <c r="E24" i="42"/>
  <c r="E32" i="42"/>
  <c r="E17" i="42"/>
  <c r="E25" i="42"/>
  <c r="H15" i="40" s="1"/>
  <c r="E16" i="42"/>
  <c r="E18" i="42"/>
  <c r="E26" i="42"/>
  <c r="E22" i="42"/>
  <c r="H12" i="40" s="1"/>
  <c r="E19" i="42"/>
  <c r="E27" i="42"/>
  <c r="E20" i="42"/>
  <c r="E28" i="42"/>
  <c r="E30" i="42"/>
  <c r="E21" i="42"/>
  <c r="E29" i="42"/>
  <c r="J28" i="35"/>
  <c r="I23" i="35"/>
  <c r="J23" i="35" s="1"/>
  <c r="I24" i="35"/>
  <c r="J24" i="35" s="1"/>
  <c r="I25" i="35"/>
  <c r="J25" i="35" s="1"/>
  <c r="I26" i="35"/>
  <c r="J26" i="35" s="1"/>
  <c r="I27" i="35"/>
  <c r="J27" i="35" s="1"/>
  <c r="I22" i="35"/>
  <c r="J22" i="35" s="1"/>
  <c r="J21" i="35"/>
  <c r="J20" i="35"/>
  <c r="I18" i="35" a="1"/>
  <c r="I18" i="35" s="1"/>
  <c r="J18" i="35" s="1"/>
  <c r="J16" i="35"/>
  <c r="J11" i="35"/>
  <c r="J9" i="35"/>
  <c r="J10" i="35"/>
  <c r="J7" i="35"/>
  <c r="I6" i="35" a="1"/>
  <c r="I6" i="35" s="1"/>
  <c r="J6" i="35" s="1"/>
  <c r="F3" i="41"/>
  <c r="E3" i="41"/>
  <c r="C37" i="41"/>
  <c r="I30" i="25"/>
  <c r="I31" i="25"/>
  <c r="I32" i="25"/>
  <c r="I33" i="25"/>
  <c r="I34" i="25"/>
  <c r="I29" i="25"/>
  <c r="I22" i="25" a="1"/>
  <c r="I22" i="25" s="1"/>
  <c r="I20" i="25"/>
  <c r="I19" i="25"/>
  <c r="I14" i="25"/>
  <c r="J11" i="25"/>
  <c r="I9" i="25" a="1"/>
  <c r="I9" i="25" s="1"/>
  <c r="I6" i="25"/>
  <c r="I7" i="25"/>
  <c r="I5" i="25"/>
  <c r="I8" i="25" a="1"/>
  <c r="I8" i="25" s="1"/>
  <c r="F3" i="40"/>
  <c r="E3" i="40"/>
  <c r="G2" i="37"/>
  <c r="F2" i="37"/>
  <c r="F3" i="35"/>
  <c r="E3" i="35"/>
  <c r="G2" i="31"/>
  <c r="G40" i="31"/>
  <c r="F40" i="31"/>
  <c r="C6" i="35" l="1"/>
  <c r="N6" i="35" s="1" a="1"/>
  <c r="N6" i="35" s="1"/>
  <c r="C5" i="35"/>
  <c r="H5" i="35"/>
  <c r="H5" i="40"/>
  <c r="H19" i="35"/>
  <c r="I19" i="35" s="1" a="1"/>
  <c r="I19" i="35" s="1"/>
  <c r="H19" i="40"/>
  <c r="H14" i="35"/>
  <c r="H14" i="40"/>
  <c r="C17" i="41"/>
  <c r="C12" i="41"/>
  <c r="C21" i="41"/>
  <c r="N21" i="41" s="1"/>
  <c r="C15" i="41"/>
  <c r="C11" i="41"/>
  <c r="C24" i="41"/>
  <c r="C8" i="41"/>
  <c r="C16" i="41"/>
  <c r="C35" i="41"/>
  <c r="C28" i="41"/>
  <c r="C5" i="41"/>
  <c r="C22" i="41"/>
  <c r="C18" i="41"/>
  <c r="C13" i="41"/>
  <c r="C10" i="41"/>
  <c r="C23" i="41"/>
  <c r="C19" i="41"/>
  <c r="F16" i="42" a="1"/>
  <c r="F16" i="42" s="1"/>
  <c r="J16" i="42" s="1"/>
  <c r="K16" i="42" s="1"/>
  <c r="K31" i="42"/>
  <c r="H12" i="35"/>
  <c r="H15" i="35"/>
  <c r="C11" i="35"/>
  <c r="N11" i="35" s="1"/>
  <c r="C19" i="35"/>
  <c r="M19" i="35" s="1"/>
  <c r="J31" i="37" s="1"/>
  <c r="C12" i="35"/>
  <c r="C20" i="35"/>
  <c r="N20" i="35" s="1"/>
  <c r="C13" i="35"/>
  <c r="N13" i="35" s="1"/>
  <c r="C8" i="35"/>
  <c r="C14" i="35"/>
  <c r="C10" i="35"/>
  <c r="N10" i="35" s="1"/>
  <c r="C28" i="35"/>
  <c r="N28" i="35" s="1"/>
  <c r="C15" i="35"/>
  <c r="C21" i="35"/>
  <c r="N21" i="35" s="1" a="1"/>
  <c r="N21" i="35" s="1"/>
  <c r="C16" i="35"/>
  <c r="N16" i="35" s="1"/>
  <c r="C18" i="35"/>
  <c r="N18" i="35" s="1"/>
  <c r="C9" i="35"/>
  <c r="N9" i="35" s="1"/>
  <c r="C17" i="35"/>
  <c r="C18" i="40"/>
  <c r="C12" i="40"/>
  <c r="C5" i="40"/>
  <c r="C28" i="40"/>
  <c r="C15" i="40"/>
  <c r="C21" i="40"/>
  <c r="C17" i="40"/>
  <c r="C14" i="40"/>
  <c r="C9" i="40"/>
  <c r="C19" i="40"/>
  <c r="M19" i="40" s="1"/>
  <c r="J64" i="37" s="1"/>
  <c r="C16" i="40"/>
  <c r="C10" i="40"/>
  <c r="C8" i="40"/>
  <c r="C20" i="40"/>
  <c r="C13" i="40"/>
  <c r="C6" i="40"/>
  <c r="C11" i="40"/>
  <c r="K21" i="25"/>
  <c r="F27" i="42" a="1"/>
  <c r="F27" i="42" s="1"/>
  <c r="F30" i="42" a="1"/>
  <c r="F30" i="42" s="1"/>
  <c r="F32" i="42" a="1"/>
  <c r="F32" i="42" s="1"/>
  <c r="F23" i="42" a="1"/>
  <c r="F23" i="42" s="1"/>
  <c r="F21" i="42" a="1"/>
  <c r="F21" i="42" s="1"/>
  <c r="F26" i="42" a="1"/>
  <c r="F26" i="42" s="1"/>
  <c r="F22" i="42" a="1"/>
  <c r="F22" i="42" s="1"/>
  <c r="F25" i="42" a="1"/>
  <c r="F25" i="42" s="1"/>
  <c r="F19" i="42" a="1"/>
  <c r="F19" i="42" s="1"/>
  <c r="F29" i="42" a="1"/>
  <c r="F29" i="42" s="1"/>
  <c r="J29" i="42" s="1"/>
  <c r="F20" i="42" a="1"/>
  <c r="F20" i="42" s="1"/>
  <c r="F24" i="42" a="1"/>
  <c r="F24" i="42" s="1"/>
  <c r="F28" i="42" a="1"/>
  <c r="F28" i="42" s="1"/>
  <c r="J28" i="42" s="1"/>
  <c r="K28" i="42" s="1"/>
  <c r="F18" i="42" a="1"/>
  <c r="F18" i="42" s="1"/>
  <c r="F17" i="42" a="1"/>
  <c r="F17" i="42" s="1"/>
  <c r="J17" i="42" s="1"/>
  <c r="K17" i="42" s="1"/>
  <c r="J8" i="35"/>
  <c r="C37" i="25"/>
  <c r="J9" i="25"/>
  <c r="F2" i="31"/>
  <c r="E3" i="25"/>
  <c r="J29" i="31"/>
  <c r="H5" i="29"/>
  <c r="I5" i="29" s="1"/>
  <c r="H6" i="29"/>
  <c r="I6" i="29" s="1"/>
  <c r="H7" i="29"/>
  <c r="I7" i="29" s="1"/>
  <c r="N8" i="35" l="1"/>
  <c r="N5" i="35"/>
  <c r="I5" i="35" a="1"/>
  <c r="I5" i="35" s="1"/>
  <c r="J5" i="35" s="1"/>
  <c r="K5" i="35" s="1"/>
  <c r="N15" i="40"/>
  <c r="D60" i="37" s="1"/>
  <c r="M8" i="40"/>
  <c r="J53" i="37" s="1"/>
  <c r="K8" i="40"/>
  <c r="I53" i="37" s="1"/>
  <c r="M16" i="40"/>
  <c r="J61" i="37" s="1"/>
  <c r="K16" i="40"/>
  <c r="I61" i="37" s="1"/>
  <c r="I5" i="40" a="1"/>
  <c r="I5" i="40" s="1"/>
  <c r="J5" i="40" s="1"/>
  <c r="K5" i="40" s="1"/>
  <c r="I51" i="37" s="1"/>
  <c r="M51" i="37" s="1"/>
  <c r="M11" i="40"/>
  <c r="J56" i="37" s="1"/>
  <c r="K11" i="40"/>
  <c r="I56" i="37" s="1"/>
  <c r="M9" i="40"/>
  <c r="J54" i="37" s="1"/>
  <c r="K9" i="40"/>
  <c r="I54" i="37" s="1"/>
  <c r="M18" i="40"/>
  <c r="J63" i="37" s="1"/>
  <c r="K18" i="40"/>
  <c r="I63" i="37" s="1"/>
  <c r="M63" i="37" s="1"/>
  <c r="I19" i="40" a="1"/>
  <c r="I19" i="40" s="1"/>
  <c r="N6" i="40" a="1"/>
  <c r="N6" i="40" s="1"/>
  <c r="M6" i="40"/>
  <c r="J52" i="37" s="1"/>
  <c r="K6" i="40"/>
  <c r="I52" i="37" s="1"/>
  <c r="I14" i="40" a="1"/>
  <c r="I14" i="40" s="1"/>
  <c r="J14" i="40" s="1"/>
  <c r="K14" i="40" s="1"/>
  <c r="I59" i="37" s="1"/>
  <c r="M59" i="37" s="1"/>
  <c r="M13" i="40"/>
  <c r="J58" i="37" s="1"/>
  <c r="K13" i="40"/>
  <c r="I58" i="37" s="1"/>
  <c r="M17" i="40"/>
  <c r="J62" i="37" s="1"/>
  <c r="I12" i="40" a="1"/>
  <c r="I12" i="40" s="1"/>
  <c r="M20" i="40"/>
  <c r="J65" i="37" s="1"/>
  <c r="K20" i="40"/>
  <c r="M21" i="40"/>
  <c r="J66" i="37" s="1"/>
  <c r="K21" i="40"/>
  <c r="I66" i="37" s="1"/>
  <c r="I15" i="40" a="1"/>
  <c r="I15" i="40" s="1"/>
  <c r="J15" i="40" s="1"/>
  <c r="K15" i="40" s="1"/>
  <c r="I60" i="37" s="1"/>
  <c r="M60" i="37" s="1"/>
  <c r="M10" i="40"/>
  <c r="J55" i="37" s="1"/>
  <c r="K10" i="40"/>
  <c r="I55" i="37" s="1"/>
  <c r="M28" i="40"/>
  <c r="J67" i="37" s="1"/>
  <c r="K28" i="40"/>
  <c r="I67" i="37" s="1"/>
  <c r="M23" i="41"/>
  <c r="J67" i="31" s="1"/>
  <c r="N23" i="41"/>
  <c r="K23" i="41"/>
  <c r="I67" i="31" s="1"/>
  <c r="M16" i="41"/>
  <c r="J61" i="31" s="1"/>
  <c r="K16" i="41"/>
  <c r="I61" i="31" s="1"/>
  <c r="N16" i="41"/>
  <c r="N10" i="41"/>
  <c r="K10" i="41"/>
  <c r="I56" i="31" s="1"/>
  <c r="M10" i="41"/>
  <c r="J56" i="31" s="1"/>
  <c r="K8" i="41"/>
  <c r="I55" i="31" s="1"/>
  <c r="M8" i="41"/>
  <c r="J55" i="31" s="1"/>
  <c r="N8" i="41" a="1"/>
  <c r="N8" i="41" s="1"/>
  <c r="D55" i="31" s="1"/>
  <c r="M13" i="41"/>
  <c r="J59" i="31" s="1"/>
  <c r="K13" i="41"/>
  <c r="I59" i="31" s="1"/>
  <c r="N13" i="41" a="1"/>
  <c r="N13" i="41" s="1"/>
  <c r="K24" i="41"/>
  <c r="I68" i="31" s="1"/>
  <c r="M24" i="41"/>
  <c r="N24" i="41" a="1"/>
  <c r="N24" i="41" s="1"/>
  <c r="N18" i="41"/>
  <c r="K18" i="41"/>
  <c r="I63" i="31" s="1"/>
  <c r="M18" i="41"/>
  <c r="J63" i="31" s="1"/>
  <c r="M11" i="41"/>
  <c r="J57" i="31" s="1"/>
  <c r="N11" i="41"/>
  <c r="K11" i="41"/>
  <c r="I57" i="31" s="1"/>
  <c r="M22" i="41"/>
  <c r="J66" i="31" s="1"/>
  <c r="K22" i="41"/>
  <c r="I66" i="31" s="1"/>
  <c r="N22" i="41"/>
  <c r="N15" i="41"/>
  <c r="K15" i="41"/>
  <c r="I60" i="31" s="1"/>
  <c r="M15" i="41"/>
  <c r="J60" i="31" s="1"/>
  <c r="M5" i="41"/>
  <c r="J54" i="31" s="1"/>
  <c r="K5" i="41"/>
  <c r="N5" i="41" s="1" a="1"/>
  <c r="N5" i="41" s="1"/>
  <c r="M28" i="41"/>
  <c r="J69" i="31" s="1"/>
  <c r="N28" i="41" a="1"/>
  <c r="N28" i="41" s="1"/>
  <c r="K28" i="41"/>
  <c r="I69" i="31" s="1"/>
  <c r="K12" i="41"/>
  <c r="I58" i="31" s="1"/>
  <c r="M12" i="41"/>
  <c r="J58" i="31" s="1"/>
  <c r="N12" i="41"/>
  <c r="M19" i="41"/>
  <c r="J64" i="31" s="1"/>
  <c r="N19" i="41" a="1"/>
  <c r="N19" i="41" s="1"/>
  <c r="K19" i="41"/>
  <c r="I64" i="31" s="1"/>
  <c r="N35" i="41" a="1"/>
  <c r="N35" i="41" s="1"/>
  <c r="K35" i="41"/>
  <c r="I70" i="31" s="1"/>
  <c r="M35" i="41"/>
  <c r="J70" i="31" s="1"/>
  <c r="M17" i="41"/>
  <c r="J62" i="31" s="1"/>
  <c r="N17" i="41"/>
  <c r="K17" i="41"/>
  <c r="I62" i="31" s="1"/>
  <c r="N5" i="40"/>
  <c r="D51" i="37" s="1"/>
  <c r="C35" i="25"/>
  <c r="C17" i="25"/>
  <c r="C5" i="25"/>
  <c r="C28" i="25"/>
  <c r="N28" i="25" s="1" a="1"/>
  <c r="N28" i="25" s="1"/>
  <c r="C18" i="25"/>
  <c r="C24" i="25"/>
  <c r="C15" i="25"/>
  <c r="C19" i="25"/>
  <c r="C22" i="25"/>
  <c r="C13" i="25"/>
  <c r="C21" i="25"/>
  <c r="N21" i="25" s="1"/>
  <c r="C16" i="25"/>
  <c r="C23" i="25"/>
  <c r="N23" i="25" s="1"/>
  <c r="C11" i="25"/>
  <c r="N11" i="25" s="1"/>
  <c r="C12" i="25"/>
  <c r="C10" i="25"/>
  <c r="C8" i="25"/>
  <c r="N8" i="25" s="1" a="1"/>
  <c r="N8" i="25" s="1"/>
  <c r="N19" i="35"/>
  <c r="D31" i="37" s="1"/>
  <c r="N15" i="35"/>
  <c r="D27" i="37" s="1"/>
  <c r="I15" i="35" a="1"/>
  <c r="I15" i="35" s="1"/>
  <c r="J15" i="35" s="1"/>
  <c r="K15" i="35" s="1"/>
  <c r="I27" i="37" s="1"/>
  <c r="M27" i="37" s="1"/>
  <c r="N19" i="40"/>
  <c r="D64" i="37" s="1"/>
  <c r="N12" i="40"/>
  <c r="D57" i="37" s="1"/>
  <c r="N14" i="40"/>
  <c r="D59" i="37" s="1"/>
  <c r="N14" i="35"/>
  <c r="D26" i="37" s="1"/>
  <c r="I14" i="35" a="1"/>
  <c r="I14" i="35" s="1"/>
  <c r="J14" i="35" s="1"/>
  <c r="K14" i="35" s="1"/>
  <c r="I26" i="37" s="1"/>
  <c r="M26" i="37" s="1"/>
  <c r="N12" i="35"/>
  <c r="D24" i="37" s="1"/>
  <c r="I12" i="35" a="1"/>
  <c r="I12" i="35" s="1"/>
  <c r="N21" i="40" a="1"/>
  <c r="N21" i="40" s="1"/>
  <c r="N8" i="40"/>
  <c r="D53" i="37" s="1"/>
  <c r="N10" i="40"/>
  <c r="D55" i="37" s="1"/>
  <c r="N28" i="40"/>
  <c r="D67" i="37" s="1"/>
  <c r="N16" i="40"/>
  <c r="N13" i="40"/>
  <c r="N20" i="40"/>
  <c r="D65" i="37" s="1"/>
  <c r="I65" i="37"/>
  <c r="N11" i="40"/>
  <c r="D56" i="37" s="1"/>
  <c r="N9" i="40"/>
  <c r="D54" i="37" s="1"/>
  <c r="N18" i="40"/>
  <c r="D63" i="37" s="1"/>
  <c r="M13" i="35"/>
  <c r="K13" i="35"/>
  <c r="D18" i="37"/>
  <c r="J68" i="31"/>
  <c r="I18" i="37"/>
  <c r="M18" i="37" s="1"/>
  <c r="J26" i="42"/>
  <c r="K26" i="42" s="1"/>
  <c r="J32" i="42"/>
  <c r="K32" i="42" s="1"/>
  <c r="K29" i="42"/>
  <c r="J30" i="42"/>
  <c r="K30" i="42" s="1"/>
  <c r="J19" i="42"/>
  <c r="K19" i="42" s="1"/>
  <c r="J21" i="42"/>
  <c r="K21" i="42" s="1"/>
  <c r="J20" i="42"/>
  <c r="K20" i="42" s="1"/>
  <c r="J25" i="42"/>
  <c r="J18" i="42"/>
  <c r="K18" i="42" s="1"/>
  <c r="J22" i="42"/>
  <c r="J24" i="42"/>
  <c r="K24" i="42" s="1"/>
  <c r="J23" i="42"/>
  <c r="K23" i="42" s="1"/>
  <c r="K6" i="35"/>
  <c r="H42" i="41"/>
  <c r="H37" i="29"/>
  <c r="I37" i="29" s="1"/>
  <c r="H36" i="29"/>
  <c r="I36" i="29" s="1"/>
  <c r="H35" i="29"/>
  <c r="I35" i="29" s="1"/>
  <c r="H34" i="29"/>
  <c r="I34" i="29" s="1"/>
  <c r="H33" i="29"/>
  <c r="I33" i="29" s="1"/>
  <c r="H32" i="29"/>
  <c r="I32" i="29" s="1"/>
  <c r="H31" i="29"/>
  <c r="I31" i="29" s="1"/>
  <c r="H30" i="29"/>
  <c r="I30" i="29" s="1"/>
  <c r="H29" i="29"/>
  <c r="I29" i="29" s="1"/>
  <c r="H28" i="29"/>
  <c r="I28" i="29" s="1"/>
  <c r="H27" i="29"/>
  <c r="I27" i="29" s="1"/>
  <c r="H26" i="29" a="1"/>
  <c r="H26" i="29" s="1"/>
  <c r="I26" i="29" s="1"/>
  <c r="H25" i="29" a="1"/>
  <c r="H25" i="29" s="1"/>
  <c r="I25" i="29" s="1"/>
  <c r="H24" i="29" a="1"/>
  <c r="H24" i="29" s="1"/>
  <c r="I24" i="29" s="1"/>
  <c r="H23" i="29" a="1"/>
  <c r="H23" i="29" s="1"/>
  <c r="H22" i="29" a="1"/>
  <c r="H22" i="29" s="1"/>
  <c r="I22" i="29" s="1"/>
  <c r="H21" i="29"/>
  <c r="H20" i="29"/>
  <c r="I20" i="29" s="1"/>
  <c r="K19" i="29"/>
  <c r="J19" i="29"/>
  <c r="H19" i="29"/>
  <c r="I19" i="29" s="1"/>
  <c r="H18" i="29"/>
  <c r="I18" i="29" s="1"/>
  <c r="H17" i="29"/>
  <c r="I17" i="29" s="1"/>
  <c r="H16" i="29"/>
  <c r="I16" i="29" s="1"/>
  <c r="H15" i="29"/>
  <c r="I15" i="29" s="1"/>
  <c r="H14" i="29"/>
  <c r="I14" i="29" s="1"/>
  <c r="H13" i="29"/>
  <c r="I13" i="29" s="1"/>
  <c r="H12" i="29"/>
  <c r="I12" i="29" s="1"/>
  <c r="K11" i="29" s="1"/>
  <c r="J11" i="29"/>
  <c r="H11" i="29"/>
  <c r="H10" i="29"/>
  <c r="I10" i="29" s="1"/>
  <c r="H8" i="29"/>
  <c r="I8" i="29" s="1"/>
  <c r="K5" i="29" s="1"/>
  <c r="E3" i="29"/>
  <c r="D3" i="29"/>
  <c r="J27" i="42" l="1"/>
  <c r="K27" i="42" s="1"/>
  <c r="H33" i="42" s="1"/>
  <c r="O19" i="41"/>
  <c r="B64" i="31" s="1"/>
  <c r="J19" i="40"/>
  <c r="K19" i="40" s="1"/>
  <c r="I64" i="37" s="1"/>
  <c r="N64" i="37" s="1"/>
  <c r="K22" i="42"/>
  <c r="J12" i="35"/>
  <c r="J17" i="35"/>
  <c r="N17" i="35" s="1"/>
  <c r="D29" i="37" s="1"/>
  <c r="N60" i="37"/>
  <c r="N59" i="37"/>
  <c r="J12" i="40"/>
  <c r="K12" i="40" s="1"/>
  <c r="I57" i="37" s="1"/>
  <c r="M57" i="37" s="1"/>
  <c r="M64" i="37" s="1"/>
  <c r="J17" i="40"/>
  <c r="J19" i="35"/>
  <c r="K19" i="35" s="1"/>
  <c r="I31" i="37" s="1"/>
  <c r="M31" i="37" s="1"/>
  <c r="N27" i="37"/>
  <c r="N26" i="37"/>
  <c r="K25" i="42"/>
  <c r="N67" i="37"/>
  <c r="N18" i="37"/>
  <c r="O5" i="41"/>
  <c r="I54" i="31"/>
  <c r="O28" i="41"/>
  <c r="B69" i="31" s="1"/>
  <c r="O13" i="40"/>
  <c r="B58" i="37" s="1"/>
  <c r="D58" i="37"/>
  <c r="D61" i="37"/>
  <c r="O5" i="40"/>
  <c r="B51" i="37" s="1"/>
  <c r="D52" i="37"/>
  <c r="O21" i="40"/>
  <c r="B66" i="37" s="1"/>
  <c r="D66" i="37"/>
  <c r="N66" i="37" s="1"/>
  <c r="O11" i="41"/>
  <c r="O16" i="41"/>
  <c r="D23" i="37"/>
  <c r="D19" i="37"/>
  <c r="D32" i="37"/>
  <c r="N65" i="37"/>
  <c r="D22" i="37"/>
  <c r="N51" i="37"/>
  <c r="D30" i="37"/>
  <c r="N63" i="37"/>
  <c r="I19" i="37"/>
  <c r="M19" i="37" s="1"/>
  <c r="M52" i="37"/>
  <c r="D20" i="37"/>
  <c r="D34" i="37"/>
  <c r="O9" i="40"/>
  <c r="B54" i="37" s="1"/>
  <c r="D33" i="37"/>
  <c r="D28" i="37"/>
  <c r="D25" i="37"/>
  <c r="D21" i="37"/>
  <c r="M23" i="25"/>
  <c r="M8" i="25"/>
  <c r="J19" i="31" s="1"/>
  <c r="M18" i="35"/>
  <c r="M18" i="25"/>
  <c r="M17" i="25"/>
  <c r="M35" i="25"/>
  <c r="M13" i="25"/>
  <c r="M20" i="35"/>
  <c r="K20" i="35"/>
  <c r="M11" i="35"/>
  <c r="K11" i="35"/>
  <c r="M56" i="37" s="1"/>
  <c r="M17" i="35"/>
  <c r="J29" i="37" s="1"/>
  <c r="K18" i="35"/>
  <c r="K9" i="35"/>
  <c r="M54" i="37" s="1"/>
  <c r="M16" i="35"/>
  <c r="K16" i="35"/>
  <c r="M61" i="37" s="1"/>
  <c r="M9" i="35"/>
  <c r="K21" i="35"/>
  <c r="M66" i="37" s="1"/>
  <c r="M21" i="35"/>
  <c r="M10" i="35"/>
  <c r="K10" i="35"/>
  <c r="M55" i="37" s="1"/>
  <c r="K28" i="35"/>
  <c r="M28" i="35"/>
  <c r="M6" i="35"/>
  <c r="M8" i="35"/>
  <c r="K8" i="35"/>
  <c r="M28" i="25"/>
  <c r="M22" i="25"/>
  <c r="M10" i="25"/>
  <c r="M15" i="25"/>
  <c r="M11" i="25"/>
  <c r="M24" i="25"/>
  <c r="M12" i="25"/>
  <c r="M16" i="25"/>
  <c r="M19" i="25"/>
  <c r="M5" i="25"/>
  <c r="J18" i="31" s="1"/>
  <c r="I23" i="29"/>
  <c r="K16" i="29"/>
  <c r="I21" i="29"/>
  <c r="I11" i="29"/>
  <c r="K28" i="29"/>
  <c r="O21" i="35" l="1"/>
  <c r="B33" i="37" s="1"/>
  <c r="K17" i="35"/>
  <c r="I29" i="37" s="1"/>
  <c r="K12" i="35"/>
  <c r="I24" i="37" s="1"/>
  <c r="H33" i="35"/>
  <c r="N57" i="37"/>
  <c r="K17" i="40"/>
  <c r="I62" i="37" s="1"/>
  <c r="N17" i="40"/>
  <c r="M53" i="37"/>
  <c r="O5" i="35"/>
  <c r="B18" i="37" s="1"/>
  <c r="O16" i="35"/>
  <c r="B28" i="37" s="1"/>
  <c r="J19" i="37"/>
  <c r="N19" i="37" s="1"/>
  <c r="J21" i="37"/>
  <c r="J30" i="37"/>
  <c r="I32" i="37"/>
  <c r="M32" i="37" s="1"/>
  <c r="M65" i="37"/>
  <c r="J34" i="37"/>
  <c r="O13" i="35"/>
  <c r="B25" i="37" s="1"/>
  <c r="J28" i="37"/>
  <c r="N61" i="37"/>
  <c r="J25" i="37"/>
  <c r="K25" i="37" s="1"/>
  <c r="K58" i="37"/>
  <c r="J23" i="37"/>
  <c r="N56" i="37"/>
  <c r="J32" i="37"/>
  <c r="I34" i="37"/>
  <c r="M34" i="37" s="1"/>
  <c r="M67" i="37"/>
  <c r="J22" i="37"/>
  <c r="N55" i="37"/>
  <c r="J20" i="37"/>
  <c r="N53" i="37"/>
  <c r="J33" i="37"/>
  <c r="O9" i="35"/>
  <c r="B21" i="37" s="1"/>
  <c r="I30" i="37"/>
  <c r="M30" i="37" s="1"/>
  <c r="I20" i="37"/>
  <c r="I33" i="37"/>
  <c r="M33" i="37" s="1"/>
  <c r="I23" i="37"/>
  <c r="I25" i="37"/>
  <c r="M25" i="37" s="1"/>
  <c r="I28" i="37"/>
  <c r="M28" i="37" s="1"/>
  <c r="J20" i="31"/>
  <c r="K18" i="31" s="1"/>
  <c r="I21" i="37"/>
  <c r="M21" i="37" s="1"/>
  <c r="I22" i="37"/>
  <c r="J31" i="31"/>
  <c r="K64" i="31"/>
  <c r="J27" i="31"/>
  <c r="J25" i="31"/>
  <c r="J26" i="31"/>
  <c r="J24" i="31"/>
  <c r="J23" i="31"/>
  <c r="J34" i="31"/>
  <c r="K69" i="31"/>
  <c r="J28" i="31"/>
  <c r="J30" i="31"/>
  <c r="J22" i="31"/>
  <c r="J21" i="31"/>
  <c r="J33" i="31"/>
  <c r="J32" i="31"/>
  <c r="M37" i="25"/>
  <c r="G42" i="29"/>
  <c r="G38" i="29" s="1"/>
  <c r="J36" i="25"/>
  <c r="D62" i="37" l="1"/>
  <c r="O16" i="40"/>
  <c r="B61" i="37" s="1"/>
  <c r="B68" i="37" s="1"/>
  <c r="M24" i="37"/>
  <c r="M29" i="37" s="1"/>
  <c r="N29" i="37" s="1"/>
  <c r="N24" i="37"/>
  <c r="N31" i="37"/>
  <c r="B35" i="37"/>
  <c r="N32" i="37"/>
  <c r="K33" i="37"/>
  <c r="N34" i="37"/>
  <c r="N33" i="37"/>
  <c r="N30" i="37"/>
  <c r="K28" i="37"/>
  <c r="K54" i="37"/>
  <c r="N54" i="37"/>
  <c r="K21" i="37"/>
  <c r="K18" i="37"/>
  <c r="O25" i="37"/>
  <c r="K66" i="37"/>
  <c r="O66" i="37" s="1"/>
  <c r="K61" i="37"/>
  <c r="M58" i="37"/>
  <c r="M62" i="37" s="1"/>
  <c r="N58" i="37"/>
  <c r="N52" i="37"/>
  <c r="K51" i="37"/>
  <c r="O51" i="37" s="1" a="1"/>
  <c r="O51" i="37" s="1"/>
  <c r="N28" i="37"/>
  <c r="N25" i="37"/>
  <c r="M22" i="37"/>
  <c r="N22" i="37"/>
  <c r="N21" i="37"/>
  <c r="M20" i="37"/>
  <c r="N20" i="37"/>
  <c r="M23" i="37"/>
  <c r="N23" i="37"/>
  <c r="K54" i="31"/>
  <c r="K25" i="31"/>
  <c r="K33" i="31"/>
  <c r="K61" i="31"/>
  <c r="K57" i="31"/>
  <c r="K21" i="31"/>
  <c r="K28" i="31"/>
  <c r="F3" i="25"/>
  <c r="N62" i="37" l="1"/>
  <c r="O58" i="37"/>
  <c r="O28" i="37"/>
  <c r="O54" i="37" a="1"/>
  <c r="O54" i="37" s="1"/>
  <c r="O18" i="37" a="1"/>
  <c r="O18" i="37" s="1"/>
  <c r="N35" i="37" s="1"/>
  <c r="O33" i="37"/>
  <c r="O21" i="37" a="1"/>
  <c r="O21" i="37" s="1"/>
  <c r="J35" i="25"/>
  <c r="N35" i="25" s="1" a="1"/>
  <c r="N35" i="25" s="1"/>
  <c r="J34" i="25"/>
  <c r="J33" i="25"/>
  <c r="J32" i="25"/>
  <c r="J31" i="25"/>
  <c r="J30" i="25"/>
  <c r="J29" i="25"/>
  <c r="J28" i="25"/>
  <c r="J27" i="25"/>
  <c r="J26" i="25"/>
  <c r="N24" i="25" s="1" a="1"/>
  <c r="N24" i="25" s="1"/>
  <c r="J25" i="25"/>
  <c r="J24" i="25"/>
  <c r="J22" i="25"/>
  <c r="N22" i="25" s="1"/>
  <c r="J20" i="25"/>
  <c r="N19" i="25" s="1" a="1"/>
  <c r="N19" i="25" s="1"/>
  <c r="J19" i="25"/>
  <c r="J18" i="25"/>
  <c r="N18" i="25" s="1"/>
  <c r="J17" i="25"/>
  <c r="N17" i="25" s="1"/>
  <c r="J16" i="25"/>
  <c r="N16" i="25" s="1"/>
  <c r="J14" i="25"/>
  <c r="N13" i="25" s="1" a="1"/>
  <c r="N13" i="25" s="1"/>
  <c r="J13" i="25"/>
  <c r="J12" i="25"/>
  <c r="N12" i="25" s="1"/>
  <c r="J8" i="25"/>
  <c r="D19" i="31" s="1"/>
  <c r="J7" i="25"/>
  <c r="J6" i="25"/>
  <c r="J5" i="25"/>
  <c r="O61" i="37" l="1"/>
  <c r="N68" i="37" s="1"/>
  <c r="D33" i="31"/>
  <c r="K28" i="25"/>
  <c r="K16" i="25"/>
  <c r="M61" i="31" s="1"/>
  <c r="D25" i="31"/>
  <c r="K12" i="25"/>
  <c r="D22" i="31"/>
  <c r="D65" i="31"/>
  <c r="N65" i="31" s="1"/>
  <c r="K5" i="25"/>
  <c r="K24" i="25"/>
  <c r="D30" i="31"/>
  <c r="K22" i="25"/>
  <c r="K19" i="25"/>
  <c r="M64" i="31" s="1"/>
  <c r="K8" i="25"/>
  <c r="D34" i="31"/>
  <c r="K35" i="25"/>
  <c r="D27" i="31"/>
  <c r="K18" i="25"/>
  <c r="K17" i="25"/>
  <c r="M62" i="31" s="1"/>
  <c r="D26" i="31"/>
  <c r="D23" i="31"/>
  <c r="K13" i="25"/>
  <c r="J15" i="25"/>
  <c r="N15" i="25" s="1"/>
  <c r="J10" i="25"/>
  <c r="N10" i="25" l="1"/>
  <c r="D20" i="31" s="1"/>
  <c r="I18" i="31"/>
  <c r="M18" i="31" s="1"/>
  <c r="N5" i="25" a="1"/>
  <c r="N5" i="25" s="1"/>
  <c r="D18" i="31" s="1"/>
  <c r="D28" i="31"/>
  <c r="O28" i="25"/>
  <c r="B33" i="31" s="1"/>
  <c r="O16" i="25"/>
  <c r="B25" i="31" s="1"/>
  <c r="I19" i="31"/>
  <c r="M70" i="31"/>
  <c r="M59" i="31"/>
  <c r="D58" i="31"/>
  <c r="D64" i="31"/>
  <c r="M54" i="31"/>
  <c r="D67" i="31"/>
  <c r="I22" i="31"/>
  <c r="M22" i="31" s="1"/>
  <c r="M58" i="31"/>
  <c r="D59" i="31"/>
  <c r="D66" i="31"/>
  <c r="N66" i="31" s="1"/>
  <c r="D60" i="31"/>
  <c r="D68" i="31"/>
  <c r="N68" i="31" s="1"/>
  <c r="D63" i="31"/>
  <c r="D69" i="31"/>
  <c r="I32" i="31"/>
  <c r="M32" i="31" s="1"/>
  <c r="M68" i="31"/>
  <c r="I30" i="31"/>
  <c r="M30" i="31" s="1"/>
  <c r="M66" i="31"/>
  <c r="D54" i="31"/>
  <c r="D62" i="31"/>
  <c r="N62" i="31" s="1"/>
  <c r="D70" i="31"/>
  <c r="I27" i="31"/>
  <c r="M27" i="31" s="1"/>
  <c r="M63" i="31"/>
  <c r="D61" i="31"/>
  <c r="I33" i="31"/>
  <c r="M33" i="31" s="1"/>
  <c r="M69" i="31"/>
  <c r="D29" i="31"/>
  <c r="I25" i="31"/>
  <c r="N25" i="31" s="1"/>
  <c r="D32" i="31"/>
  <c r="I28" i="31"/>
  <c r="I26" i="31"/>
  <c r="N26" i="31" s="1"/>
  <c r="K15" i="25"/>
  <c r="D24" i="31"/>
  <c r="K11" i="25"/>
  <c r="M57" i="31" s="1"/>
  <c r="K10" i="25"/>
  <c r="I20" i="31" s="1"/>
  <c r="M20" i="31" s="1"/>
  <c r="I34" i="31"/>
  <c r="N34" i="31" s="1"/>
  <c r="I23" i="31"/>
  <c r="N23" i="31" s="1"/>
  <c r="K23" i="25"/>
  <c r="O19" i="25" s="1"/>
  <c r="D31" i="31"/>
  <c r="H42" i="25"/>
  <c r="N28" i="31" l="1"/>
  <c r="N32" i="31"/>
  <c r="N30" i="31"/>
  <c r="O5" i="25"/>
  <c r="B18" i="31" s="1"/>
  <c r="N18" i="31"/>
  <c r="M19" i="31"/>
  <c r="N19" i="31"/>
  <c r="N70" i="31"/>
  <c r="N20" i="31" a="1"/>
  <c r="N20" i="31" s="1"/>
  <c r="O11" i="25"/>
  <c r="B21" i="31" s="1"/>
  <c r="M55" i="31"/>
  <c r="B61" i="31"/>
  <c r="N59" i="31"/>
  <c r="N63" i="31"/>
  <c r="N58" i="31"/>
  <c r="D57" i="31"/>
  <c r="N57" i="31" s="1" a="1"/>
  <c r="N57" i="31" s="1"/>
  <c r="B57" i="31"/>
  <c r="N22" i="31"/>
  <c r="N27" i="31"/>
  <c r="N33" i="31"/>
  <c r="N54" i="31"/>
  <c r="I31" i="31"/>
  <c r="M31" i="31" s="1"/>
  <c r="M67" i="31"/>
  <c r="M56" i="31"/>
  <c r="N69" i="31"/>
  <c r="O69" i="31" s="1"/>
  <c r="N64" i="31"/>
  <c r="N61" i="31"/>
  <c r="O61" i="31"/>
  <c r="B54" i="31"/>
  <c r="D56" i="31"/>
  <c r="I24" i="31"/>
  <c r="M24" i="31" s="1"/>
  <c r="M60" i="31"/>
  <c r="M65" i="31" s="1"/>
  <c r="B28" i="31"/>
  <c r="M25" i="31"/>
  <c r="D21" i="31"/>
  <c r="M28" i="31"/>
  <c r="M37" i="41"/>
  <c r="M26" i="31"/>
  <c r="I29" i="31"/>
  <c r="I21" i="31"/>
  <c r="M23" i="31"/>
  <c r="M34" i="31"/>
  <c r="O64" i="31" l="1"/>
  <c r="M29" i="31"/>
  <c r="N29" i="31" s="1"/>
  <c r="B71" i="31"/>
  <c r="B35" i="31"/>
  <c r="O33" i="31"/>
  <c r="O18" i="31" a="1"/>
  <c r="O18" i="31" s="1"/>
  <c r="O25" i="31"/>
  <c r="N55" i="31"/>
  <c r="O57" i="31" a="1"/>
  <c r="O57" i="31" s="1"/>
  <c r="N60" i="31"/>
  <c r="N67" i="31"/>
  <c r="N56" i="31" a="1"/>
  <c r="N56" i="31" s="1"/>
  <c r="O54" i="31" s="1" a="1"/>
  <c r="O54" i="31" s="1"/>
  <c r="L71" i="31" s="1"/>
  <c r="N31" i="31"/>
  <c r="N24" i="31"/>
  <c r="N21" i="31" a="1"/>
  <c r="N21" i="31" s="1"/>
  <c r="O28" i="31"/>
  <c r="M21" i="31"/>
  <c r="O21" i="31" l="1" a="1"/>
  <c r="O21" i="31" s="1"/>
  <c r="L35" i="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<sst xmlns="http://schemas.openxmlformats.org/spreadsheetml/2006/main" count="2051" uniqueCount="690">
  <si>
    <t>Version</t>
  </si>
  <si>
    <t>Date</t>
  </si>
  <si>
    <t>Introduction</t>
  </si>
  <si>
    <t>How does the Risk Assessment Tool work?</t>
  </si>
  <si>
    <t>To start</t>
  </si>
  <si>
    <t>The user should carefully read the instructions tab before proceeding into further tabs. Grey-filled cells are where users should insert a response using a pre-defined list of options (choosing from available answers).</t>
  </si>
  <si>
    <t>RAT application steps</t>
  </si>
  <si>
    <t xml:space="preserve">Step 3: Risk analysis and result </t>
  </si>
  <si>
    <t>Description</t>
  </si>
  <si>
    <t>Low</t>
  </si>
  <si>
    <t>Medium</t>
  </si>
  <si>
    <t>High</t>
  </si>
  <si>
    <t>Knowledge of the biomass resource</t>
  </si>
  <si>
    <t>#</t>
  </si>
  <si>
    <t>Question</t>
  </si>
  <si>
    <t>Answer</t>
  </si>
  <si>
    <t>Recommendation</t>
  </si>
  <si>
    <t>Do you know the main characteristic of biomass you are interested in?</t>
  </si>
  <si>
    <t>Yes, I do</t>
  </si>
  <si>
    <t>Yes</t>
  </si>
  <si>
    <t>Additional comments: Information gathered regarding to biomass/biofuel characteristic will contribute to select the appropiate technology/operation process to be used.</t>
  </si>
  <si>
    <t>No, I don’t'</t>
  </si>
  <si>
    <t>See Techincal Guidance on Biomass for Specifications of each Biomass type</t>
  </si>
  <si>
    <t>No</t>
  </si>
  <si>
    <t>Do you know the availability of biomass resources in your area?</t>
  </si>
  <si>
    <t>Yes, I know</t>
  </si>
  <si>
    <t>Additional comments: In oder to know the resource availability, should consider the potential of the biomass resources in surrounding area ( within 100 km radius as suggested based on best practices) and the quantity of biomass can be collected by reaching agreement with forest manager (for forestry biomass), farmers (for agricultural biomass), or plant mananger from wastewater treatment plants ( for municipal waste )</t>
  </si>
  <si>
    <t>No, I do not know the availablity of biomass</t>
  </si>
  <si>
    <t>It is highly recommended to get in contact with some owner of the forest/ farmers (public and privates) and logistic operators in order to assess their current practice</t>
  </si>
  <si>
    <t>Do you know the period in which the harvesting and collecting of biomass resource that you are interested in should be done?</t>
  </si>
  <si>
    <t>No, I do not know.</t>
  </si>
  <si>
    <t>It is important to know when the harvesting and collection operation of biomass resources are carried out, especially if you want to oversee the logistic operations, since the biomass needs to be collected in a short period of time, but also should be considered for the purchasing of these biomass from suppliers to ensure to meet your biomass use demand.</t>
  </si>
  <si>
    <t>Do you have biomass supplier in place to provide your intended biomass demand?</t>
  </si>
  <si>
    <t>Yes, I have</t>
  </si>
  <si>
    <t>No, I am in the process of suplier selection</t>
  </si>
  <si>
    <t>Technical solution maturity</t>
  </si>
  <si>
    <t>Key technical aspects that users should consider prior starting with biomass initiatives</t>
  </si>
  <si>
    <t>Do you have experience in utilisation of biomass fuels for energy purposes?</t>
  </si>
  <si>
    <t>Yes, I have experienced with boilers powered by biomass fuels</t>
  </si>
  <si>
    <t>No, I don't have experienced in boiler powered by biomass fuels, but I have experience with boilers based on fossil fuel</t>
  </si>
  <si>
    <r>
      <rPr>
        <sz val="11"/>
        <color theme="10"/>
        <rFont val="Calibri"/>
        <family val="2"/>
        <charset val="163"/>
        <scheme val="minor"/>
      </rPr>
      <t>Refer to Technical Guidance on Biomass</t>
    </r>
    <r>
      <rPr>
        <u/>
        <sz val="11"/>
        <color theme="10"/>
        <rFont val="Calibri"/>
        <family val="2"/>
        <scheme val="minor"/>
      </rPr>
      <t xml:space="preserve">
</t>
    </r>
  </si>
  <si>
    <t>Are you able to provide appropriate conditions for the storage of biomass fuel?</t>
  </si>
  <si>
    <t>Yes, I am</t>
  </si>
  <si>
    <t>It's about the size, space of storage. Dry and ventilated room for biomass storage is crucial to maintain good quality of biomass</t>
  </si>
  <si>
    <t>No, I am not/ I have no information about this</t>
  </si>
  <si>
    <t>Contact an expert or boiler energy service company to obtain information of space, condition that are needed for fuel storage</t>
  </si>
  <si>
    <t>Have you considered the technology and capacity of your biomass boiler?</t>
  </si>
  <si>
    <t xml:space="preserve">Yes, I have </t>
  </si>
  <si>
    <t>This parameter is important to estimate heat generation demand that meet to demand fuel amount supply</t>
  </si>
  <si>
    <t>No, I don't have</t>
  </si>
  <si>
    <t>Need to estimate energy needs in terms of power of boiler, annual heat and electricity demand. Based on this information, the required biomass fuel needs to be foreseed. 
Seek to third-party such as boiler company, boiler provider to obtain this information</t>
  </si>
  <si>
    <t>Social and Environmental Impact</t>
  </si>
  <si>
    <t>Drivers</t>
  </si>
  <si>
    <t>Screening of biomass source (Country-level )</t>
  </si>
  <si>
    <t>Guidance</t>
  </si>
  <si>
    <t>This questions-category highlights social and environmental aspects that the user should consider while developing a biomass initiative</t>
  </si>
  <si>
    <t>Climate Change</t>
  </si>
  <si>
    <t>Is the biomass sourced from a country that is considered as vulnerable to climate change for (Checklist) : sea level rise, extreme event leading to Flood, droughts, invasive species?</t>
  </si>
  <si>
    <r>
      <t xml:space="preserve">High, Medium, Low/ </t>
    </r>
    <r>
      <rPr>
        <sz val="11"/>
        <rFont val="Calibri"/>
        <family val="2"/>
        <charset val="163"/>
        <scheme val="minor"/>
      </rPr>
      <t>Not applicable</t>
    </r>
  </si>
  <si>
    <t>https://thinkhazard.org/en/
https://climateknowledgeportal.worldbank.org/country-profiles</t>
  </si>
  <si>
    <t>Human &amp; Labor rights</t>
  </si>
  <si>
    <t>Is the country from which you are sourcing Biomass listed as a high risk country for slavery/Child labour related issues</t>
  </si>
  <si>
    <t>Yes - High risk/ No - Low risk</t>
  </si>
  <si>
    <t>https://ourworldindata.org/child-labor</t>
  </si>
  <si>
    <t>Conservation</t>
  </si>
  <si>
    <t>Are the biomass produced in the region that has potential risk of deforestation from feedstock harvesting?</t>
  </si>
  <si>
    <t>Yes - High risk, No - Low Risk, Not applicable</t>
  </si>
  <si>
    <t>www.globalforestwatch.org</t>
  </si>
  <si>
    <t>Sourcing solid biomass from certified contractors/suppliers, and supplier need to provide solid evidence of solid biomass (forestry residues) origin or soucring certified biomass (such as Forest Stewrdship Council Forest Management (FSC FM) certification)</t>
  </si>
  <si>
    <t>Does biomass/biofuel produced in the area/region of significant biodiversity value such as conservation of rare, endangered or threatened species?</t>
  </si>
  <si>
    <t>Yes - High risk , No - Low risk</t>
  </si>
  <si>
    <r>
      <t xml:space="preserve">World Database on Protected Areas (WDPA) - 
Global Invasive Species Database (GISP)
</t>
    </r>
    <r>
      <rPr>
        <u/>
        <sz val="11"/>
        <color theme="4"/>
        <rFont val="Calibri"/>
        <family val="2"/>
        <charset val="163"/>
        <scheme val="minor"/>
      </rPr>
      <t>https://gst-prod.gras-system.org/</t>
    </r>
  </si>
  <si>
    <t>Process</t>
  </si>
  <si>
    <t>Step 1</t>
  </si>
  <si>
    <t>Screening for the purpose of initial assessment of likelihood of ESG risks occurrence</t>
  </si>
  <si>
    <t>Use of publicly available data/ global map datasets to identified country-risk factors in terms of ESG risks</t>
  </si>
  <si>
    <t>Screening (country-risk factors)</t>
  </si>
  <si>
    <t>Natural resources (Soil &amp; Water)</t>
  </si>
  <si>
    <t>What level of risk for the country or the region in terms of water stress?</t>
  </si>
  <si>
    <t>High, Medium, Low</t>
  </si>
  <si>
    <t>http://www.wri.org/aqueduct</t>
  </si>
  <si>
    <t>Step 2</t>
  </si>
  <si>
    <t>Food security</t>
  </si>
  <si>
    <t>Has the country /region that you are sourcing biomass exposed high food insecurity?</t>
  </si>
  <si>
    <t>Yes - High risks/ No - Low risk</t>
  </si>
  <si>
    <t>https://www.fao.org/faostat/en/#country/237
The Global Food Security Index | UNCCD</t>
  </si>
  <si>
    <t>Step 3</t>
  </si>
  <si>
    <t>Context Q1</t>
  </si>
  <si>
    <t>Context Q1a</t>
  </si>
  <si>
    <t>Context Q1b</t>
  </si>
  <si>
    <t>Context Q1c</t>
  </si>
  <si>
    <t>Context Q9</t>
  </si>
  <si>
    <t>Final Product type</t>
  </si>
  <si>
    <t>Gas</t>
  </si>
  <si>
    <t>Liquid</t>
  </si>
  <si>
    <t>Solid</t>
  </si>
  <si>
    <t>Treatment</t>
  </si>
  <si>
    <t>Biogas</t>
  </si>
  <si>
    <t>Bioethanol</t>
  </si>
  <si>
    <t>Charcoal</t>
  </si>
  <si>
    <t>Distillation</t>
  </si>
  <si>
    <t>Pre-treatment</t>
  </si>
  <si>
    <t>Biomethane</t>
  </si>
  <si>
    <t>Biodiesel</t>
  </si>
  <si>
    <t>Wood</t>
  </si>
  <si>
    <t>Transesterification</t>
  </si>
  <si>
    <t>Drying</t>
  </si>
  <si>
    <t>Syngas</t>
  </si>
  <si>
    <t>Pellets</t>
  </si>
  <si>
    <t>Pyrolysis</t>
  </si>
  <si>
    <t>Storage</t>
  </si>
  <si>
    <t>Gasification</t>
  </si>
  <si>
    <t>Animal manures</t>
  </si>
  <si>
    <t>Pelletization</t>
  </si>
  <si>
    <t>Agricultural waste</t>
  </si>
  <si>
    <t>Anaerobic digestion</t>
  </si>
  <si>
    <t>Direct crops</t>
  </si>
  <si>
    <t>Methanation</t>
  </si>
  <si>
    <t>None</t>
  </si>
  <si>
    <t>Context Q2</t>
  </si>
  <si>
    <t>Context Q2a</t>
  </si>
  <si>
    <t>Context Q2b</t>
  </si>
  <si>
    <t>Context Q2c</t>
  </si>
  <si>
    <t>Context Q2d</t>
  </si>
  <si>
    <t>Context Q2e</t>
  </si>
  <si>
    <t>Context Q2f</t>
  </si>
  <si>
    <t>Organic waste</t>
  </si>
  <si>
    <t>Solid wood and residues from forests</t>
  </si>
  <si>
    <t>Corn</t>
  </si>
  <si>
    <t>Rice straw</t>
  </si>
  <si>
    <t>Wood from production forest</t>
  </si>
  <si>
    <t>Food waste from restaurant</t>
  </si>
  <si>
    <t>Cows</t>
  </si>
  <si>
    <t>Dedicated crops including food and energy crops</t>
  </si>
  <si>
    <t>Wheat</t>
  </si>
  <si>
    <t>Rice husk</t>
  </si>
  <si>
    <t>Dead wood collected in the forest</t>
  </si>
  <si>
    <t>Organic MSW</t>
  </si>
  <si>
    <t>Chicken</t>
  </si>
  <si>
    <t>Residues from agricultural processes – Ligno-cellulose biomass</t>
  </si>
  <si>
    <t>Sugar</t>
  </si>
  <si>
    <t>Waste from food industry</t>
  </si>
  <si>
    <t>Pigs</t>
  </si>
  <si>
    <t>Residues from agricultural processes - Animal manures</t>
  </si>
  <si>
    <t>Beetroot</t>
  </si>
  <si>
    <t>Coconut husk</t>
  </si>
  <si>
    <t>Other</t>
  </si>
  <si>
    <t>Waste from wood industry</t>
  </si>
  <si>
    <t>Organic waste and sludges from industries and municipalities</t>
  </si>
  <si>
    <t>Sorghum</t>
  </si>
  <si>
    <t>Palm residue (EFB, Fronds, Kernel shells)</t>
  </si>
  <si>
    <t>Sewage sludge</t>
  </si>
  <si>
    <t>Starch</t>
  </si>
  <si>
    <t>Industrial sludge</t>
  </si>
  <si>
    <t>Oil</t>
  </si>
  <si>
    <t>Cassava</t>
  </si>
  <si>
    <t>Switchgrass</t>
  </si>
  <si>
    <t>Jatropha</t>
  </si>
  <si>
    <t>Context Q3</t>
  </si>
  <si>
    <t>Questions</t>
  </si>
  <si>
    <t>For Basic Assessment Tab</t>
  </si>
  <si>
    <t>Evaluation indicator</t>
  </si>
  <si>
    <t>Mitigation Measures</t>
  </si>
  <si>
    <t>Reduction Score</t>
  </si>
  <si>
    <t>if ticked, maximum risk level for indicator</t>
  </si>
  <si>
    <t>Code</t>
  </si>
  <si>
    <t>Mitigation measures</t>
  </si>
  <si>
    <t>GHG emissions from biomass production, transportation and storage (upstream) </t>
  </si>
  <si>
    <t>GHG_1</t>
  </si>
  <si>
    <t>GHG emissions from utilization (combustion)</t>
  </si>
  <si>
    <t>GHG_2A</t>
  </si>
  <si>
    <t>Impact of carbon sinks (such as deforestation)</t>
  </si>
  <si>
    <t>GHG_3A</t>
  </si>
  <si>
    <t>GHG_2</t>
  </si>
  <si>
    <t>Apply Energy efficiency best practices in energy systems of the factory to reduce the energy demand</t>
  </si>
  <si>
    <t>Loss of natural habitats causing loss of biodiversity (such as deforestation) from Land-Use change (LUC) and Indirect Land-Use Change (ILUC)</t>
  </si>
  <si>
    <t>NR_1A</t>
  </si>
  <si>
    <t>GHG_3</t>
  </si>
  <si>
    <t>Loss of biodiversity due to increased use of chemicals (insect killers, etc.)</t>
  </si>
  <si>
    <t>NR_2A</t>
  </si>
  <si>
    <t>NR_1</t>
  </si>
  <si>
    <t>Water consumption for biomass production</t>
  </si>
  <si>
    <t>NR_3A</t>
  </si>
  <si>
    <t>NR_2</t>
  </si>
  <si>
    <t>Air quality control from biomass boiler/turbines</t>
  </si>
  <si>
    <t>AQ_3A</t>
  </si>
  <si>
    <t>Factory has implemented measures and technologies to reduce air pollutants (NOx, SOx, PM)</t>
  </si>
  <si>
    <t>Biomass is produced in areas with objectives of reduction of chemicals used in agriculture</t>
  </si>
  <si>
    <t>Land rights</t>
  </si>
  <si>
    <t>HR_1A</t>
  </si>
  <si>
    <t>NR_3</t>
  </si>
  <si>
    <t>Select biomass sources from a region that indigenous peoples have not been affected by the development of the biomass supply chain in term of land rights.</t>
  </si>
  <si>
    <t>Community health and safety</t>
  </si>
  <si>
    <t>HR_2A</t>
  </si>
  <si>
    <t>If required, Environmental and Social Impact screening and/or assessment is provided related to the factory's supply chain (e.g biomass production)</t>
  </si>
  <si>
    <t>Water &amp; Soil contamination due to use of chemicals</t>
  </si>
  <si>
    <t>NR_4</t>
  </si>
  <si>
    <t>Decent remuneration and compensation for workers</t>
  </si>
  <si>
    <t>HR_3A</t>
  </si>
  <si>
    <t>During the process of supplier selection screening, check biomass supplier align with national laws of legal minium worker's wage and working conditions</t>
  </si>
  <si>
    <t xml:space="preserve">Child Labor &amp; Slavery </t>
  </si>
  <si>
    <t>HR_5A</t>
  </si>
  <si>
    <t>Open field burning of agricultural waste</t>
  </si>
  <si>
    <t>AQ_1</t>
  </si>
  <si>
    <t>Air contaminants control during production processes</t>
  </si>
  <si>
    <t>AQ_2</t>
  </si>
  <si>
    <t>Impact on food availability and price</t>
  </si>
  <si>
    <t>SD_1A</t>
  </si>
  <si>
    <t>AQ_3</t>
  </si>
  <si>
    <t xml:space="preserve">Increased revenues &amp; employment opportunities for local communities </t>
  </si>
  <si>
    <t>SD_2A</t>
  </si>
  <si>
    <t>HR_1</t>
  </si>
  <si>
    <t>Supplier can provide land right certificates for biomass transformation factory</t>
  </si>
  <si>
    <t>Supplier can provide land right certificates for agricultural lands</t>
  </si>
  <si>
    <t>HR_2</t>
  </si>
  <si>
    <t>HR_3</t>
  </si>
  <si>
    <t>Occupational Health &amp; Safety</t>
  </si>
  <si>
    <t>HR_4</t>
  </si>
  <si>
    <t>HR_5</t>
  </si>
  <si>
    <t>SD_1</t>
  </si>
  <si>
    <t xml:space="preserve">Medium </t>
  </si>
  <si>
    <t>Suggest to delete</t>
  </si>
  <si>
    <t>Biomass is produced on land that cannot be used for agriculture</t>
  </si>
  <si>
    <t>SD_2</t>
  </si>
  <si>
    <t>Company name</t>
  </si>
  <si>
    <t>Location</t>
  </si>
  <si>
    <t>Sector</t>
  </si>
  <si>
    <t>Name of the assessor</t>
  </si>
  <si>
    <t>Date of assessment</t>
  </si>
  <si>
    <t>Option 1</t>
  </si>
  <si>
    <t>Option 2</t>
  </si>
  <si>
    <t>OVERVIEW QUESTIONS</t>
  </si>
  <si>
    <t>What is the fuel form to be used in the plant?</t>
  </si>
  <si>
    <t>What is the final fuel product?</t>
  </si>
  <si>
    <t>What is the process used to convert the original biomass source to the fuel type?</t>
  </si>
  <si>
    <t>What is the original unprocessed biomass type of the fuel?</t>
  </si>
  <si>
    <t>Has the user already identified a biomass supplier in place to cover the necessary energy requirements?</t>
  </si>
  <si>
    <t>Know about the availability of production of the considered biomass sources</t>
  </si>
  <si>
    <t xml:space="preserve">Check availability of appropriate capacities for reception and storage of biomass fuel </t>
  </si>
  <si>
    <t>Review the compatibility of company's existing infrastructure/boiler/technology with the selected biomass fuel</t>
  </si>
  <si>
    <t>Cascading use</t>
  </si>
  <si>
    <t>Waste management</t>
  </si>
  <si>
    <t xml:space="preserve">DRIVER APPLICABILITY MATRIX </t>
  </si>
  <si>
    <t xml:space="preserve">Driver Applicability Matrix </t>
  </si>
  <si>
    <t>Biomass Option 1</t>
  </si>
  <si>
    <t>Biomass Option 2</t>
  </si>
  <si>
    <t xml:space="preserve">Driver </t>
  </si>
  <si>
    <t xml:space="preserve"> Evaluation Indicators</t>
  </si>
  <si>
    <t>Potential Impact/Risks</t>
  </si>
  <si>
    <t>Sustainable Biomass Criteria</t>
  </si>
  <si>
    <t>Level</t>
  </si>
  <si>
    <t>Supply chain</t>
  </si>
  <si>
    <t>Impact on carbon sinks (such as deforestation)</t>
  </si>
  <si>
    <t>Factory</t>
  </si>
  <si>
    <t>Conservation &amp; Natural Resources</t>
  </si>
  <si>
    <t>Loss of natural habitats causing loss of biodiversity (such as deforestation) from land-use change (LUC) and indirect land-use change (ILUC)</t>
  </si>
  <si>
    <t>Air Quality</t>
  </si>
  <si>
    <t>Agricultural practices such as agricultural waste burning or use of chemicals at farm level as well as industrial processes used for biomass treatment and combustion without appropriate pollution control measures (e.g. from combustion smoke) may affect the air quality and pose public health issues for workers and communities at local and regional level (including transboundary effects).</t>
  </si>
  <si>
    <t>Open air burning of agricultural residues and by products shall not occur.</t>
  </si>
  <si>
    <t>Human &amp; Labor Rights</t>
  </si>
  <si>
    <t>Supply chain and Factory</t>
  </si>
  <si>
    <t>Occupational health and safety</t>
  </si>
  <si>
    <t>Social Development &amp; Food Security</t>
  </si>
  <si>
    <t xml:space="preserve">1. Production of biomass from crops that are used for alimentation or could be used for food crops may impact the food security. The competing use of the biomass may lead to risk of availability of food products necessary for ensuring good nutrition and/or increased price due to competition between food and energy usages.
2. Increased demand for biofuel feedstock can supplement and diversify farmers' and foresters' incomes and increase job opportunities in the region. </t>
  </si>
  <si>
    <t>Biomass Category</t>
  </si>
  <si>
    <t xml:space="preserve">Production and utilization of biofuels may generate GHG (C02, CH4, N2O) that are not fully compensated by the amount of carbon stored during the life-cycle of the biomass. These emissions contribute to impacts of climate change and its consequences in terms of optimal conditions for production of biomass as well as in the supply-chain organization. </t>
  </si>
  <si>
    <t>Production and utilization of biofuels may generate GHG (C02, CH4, N2O) that are not fully compensated by the amount of carbon stored during the life-cycle of the biomass. These emissions shall be quantified and minimized.
Resilient biomass sources and supply-chain shall be prioritized</t>
  </si>
  <si>
    <t>x</t>
  </si>
  <si>
    <t>Conservation &amp; Natural resources</t>
  </si>
  <si>
    <t>1.  Biomass generation shall minimize its impact on existing ecosystem and new production areas shall prioritize already brownfield lands 
2.  Agricultural practices with limited impacts on ecosystem shall be prioritized such as agro-ecology and/or organic agriculture.</t>
  </si>
  <si>
    <t xml:space="preserve">Biomass production may require important quantity of water and land. Low water-intensive cultures and water losses reduction as well as cultures that participate to the regeneration of soil shall be encouraged particularly in water-stress areas with potential of conflicts of usage. </t>
  </si>
  <si>
    <t>Air quality</t>
  </si>
  <si>
    <t>Agricultural practices such as agricultural waste burning  or use of chemicals at farm level as well as industrial processes for biomass treatment and combustion without appropriate contaminant control (from combustion smoke) may affect the quality of air and pose public health issues for workers and communities at local and regional level (including transboundary)</t>
  </si>
  <si>
    <t>Production and utilization of biomass may affect the rights of communities in terms of land rights (particularly for minorities and indigenous people), while all stakeholders may not be granted to rights for information and participation to decision-making as stakeholders in the development of the biomass supply-chain</t>
  </si>
  <si>
    <t xml:space="preserve">Production, logistics, utilization and waste management of biomass products shall ensure no child labour nor slavery while guaranteeing fair right for workers (remuneration, decent contracts) and safe place to work (OHS) </t>
  </si>
  <si>
    <t>Social Development &amp; Food security</t>
  </si>
  <si>
    <t xml:space="preserve">Sustainability Assessment Question </t>
  </si>
  <si>
    <t>Driver</t>
  </si>
  <si>
    <t>Evaluation indicators</t>
  </si>
  <si>
    <t>Best</t>
  </si>
  <si>
    <t>Score 1</t>
  </si>
  <si>
    <t>Score combine</t>
  </si>
  <si>
    <t>Maximum Score</t>
  </si>
  <si>
    <t>Risk Class</t>
  </si>
  <si>
    <t>User's Note/ Justification for Answer</t>
  </si>
  <si>
    <t>Possible Mitigation Options</t>
  </si>
  <si>
    <t>Climate change</t>
  </si>
  <si>
    <t>1.GHG emissions from biomass production, transportation and storage (upstream) </t>
  </si>
  <si>
    <t>Please answer Yes or No for each item</t>
  </si>
  <si>
    <t>N</t>
  </si>
  <si>
    <t>Y</t>
  </si>
  <si>
    <t xml:space="preserve">Multiple choice question:
- Fossil fuel for production of biomass fuel
- Long term storage (more than X months)
- Transportation over 100km
- None of them
Score as many points as answer ticked. If three answers ticked --&gt; 3 points; if none of them --&gt; 0 points </t>
  </si>
  <si>
    <t>Typically a biomass will be pre-processed before it can be used as a fuel</t>
  </si>
  <si>
    <t xml:space="preserve">
</t>
  </si>
  <si>
    <t>A</t>
  </si>
  <si>
    <t>B</t>
  </si>
  <si>
    <t>C</t>
  </si>
  <si>
    <t>What type of fuels will the biomass replace?</t>
  </si>
  <si>
    <t>A. Gas/Oil/Coal
B. Electricity from National Grid
C. Electricity from Renewable Source (e.g. solar photovotaic system)
D. Unknown</t>
  </si>
  <si>
    <t>Keep as Y/N</t>
  </si>
  <si>
    <t>Not Applicable</t>
  </si>
  <si>
    <t>▪ Avoid fossil fuels and ensure highest energy efficiency standards for pre-treatment processes and combustion processes with appropriate Energy Management System implemented (ISO 50001).
▪ Apply Energy efficiency measures in energy systems of the factory to reduce the energy demand (e.g. energy conservation technology, optimisation of steam generation and pressurised air, waste heat recovery, process optimisation, etc.)</t>
  </si>
  <si>
    <t>D</t>
  </si>
  <si>
    <t xml:space="preserve">If the factories intend/used biomass to replace national-grid electricity for energy use, Kindly check emission factors of national grid electricity then select your answer </t>
  </si>
  <si>
    <t>A. Emissions factors of electricity grid in the country below 200g/kWh
B. Emissions factors of electricity grid in the country above 200g/kWh
C. Unknown</t>
  </si>
  <si>
    <t>Check emission factors of national grid electricity publicly disclosed in the national government portal. If this data is unavailable, please check database of annual GHG emission factors for World countries from electricity and heat generation from International Energy Agency (IEA).
https://www.iea.org/data-and-statistics/data-product/emissions-factors-2022</t>
  </si>
  <si>
    <t>Has the biomass sourced from a region that has a risk of deforestation?</t>
  </si>
  <si>
    <t xml:space="preserve">Based on Global Forest Watch, please choose one answer that describes the situation:
A. Commodity driven deforestation is more than 25% relatively to the annual tree cover losses of the country
B. Commodity driven deforestation is 10% to 25% relatively to the annual tree cover losses of the country
C. Commodity driven deforestation is less than 10% relatively to the annual tree cover losses of the country
</t>
  </si>
  <si>
    <t xml:space="preserve">Range question
More than 25% - 3 points
10-25% - 2 points
&lt;10 % - 1 point
</t>
  </si>
  <si>
    <t>▪ Begin by researching the specific region or country from which the biomass originates. 
▪ Look for information on the prevalence of deforestation in that areas including any reports or studies on the project publicly disclosed.
▪Use the Global Forest Watch database. www.globalforestwatch.org
1. Go to the website Global Forest Watch and select map in the menu
2. Select" tree cover loss by dominant driver" in " Forest Change"
3. Click on the relevant country/region and select "Analysis"
4. Compare "commodity driven deforestation" with total annual tree cover losses of the country
Commodity driven deforestation is defined as large-scale of deforestation primarily linked to commercial agricultural expansion</t>
  </si>
  <si>
    <t xml:space="preserve">
▪ Select biomass products that carry certifications specifically designed to address deforestation risks. For example, the Roundtable on Sustainable Biomaterials (RSB) and the Forest Stewardship Council (FSC) provide certifications that ensure biomass is sourced sustainably and does not contribute to deforestation.
▪ Select suppliers or manufacturers who can provide detailed information about the source of their biomass, including specific region and whether it adheres to sustainable practices.</t>
  </si>
  <si>
    <t>Conservation &amp; Natural resources (Soil &amp; Water)</t>
  </si>
  <si>
    <t>Please choose one answer that describes the situation:
A. Occur in protected areas
B. Occur in close proximity to protected areas
C. Occur in rural area that is not in proximity with protected areas
D. Occur in urban area</t>
  </si>
  <si>
    <r>
      <t xml:space="preserve">Range question:
If happenign in protected natural areas --&gt; 3 points
if in close proximity to protected areas --&gt; 2 points
Rural area Not in proximity with natural </t>
    </r>
    <r>
      <rPr>
        <sz val="12"/>
        <color rgb="FFFF0000"/>
        <rFont val="Arial"/>
        <family val="2"/>
        <charset val="163"/>
      </rPr>
      <t>(&gt;10</t>
    </r>
    <r>
      <rPr>
        <sz val="12"/>
        <color theme="1"/>
        <rFont val="Arial"/>
        <family val="2"/>
        <charset val="163"/>
      </rPr>
      <t>km) --&gt; 1 point
In urban area --&gt; 0 point
Combine scores of question 3 &amp; 4, if occur in protected Area -&gt; High Risk directly</t>
    </r>
  </si>
  <si>
    <t>▪Check if there are any reports published by local authorities/NGOs etc. to claim the issues of natural areas degradation by biomass plantation or cultivation
 ▪Use website such as:
1. World Database on Protected Areas (WDPA) - 
2. Global Invasive Species Database (GISP)
3. Global Risk Assessment Tool (https://gst-prod.gras-system.org/)</t>
  </si>
  <si>
    <t>▪ Exclude areas that are protected and of significant value for biodeiversity from conversion.
▪ Prioritize Certified biomass sources from organizations such as Forest Stewardship Council (FSC),  Sustainable Biomass Program (SBP), or organic certifications.</t>
  </si>
  <si>
    <t>Does the biomass processing/production require intensive use of chemicals including but not limited to fertilizer and pesticides?</t>
  </si>
  <si>
    <t xml:space="preserve">Please choose one answer that describes the situation:
A. Biomass is from crops using chemical and from country having &gt;5kg of pestide per ha of cropland
B. Biomass is from crops using chemical and from country having &lt;5kg of pestide per ha of cropland
C. Waste residues from agricultural/sylviculture processes using chemicals
D. Biomass extracted from nature without use of chemical </t>
  </si>
  <si>
    <t>Range question:
- biomass extracted from nature without use of chemical --&gt; 0 point
- Waste residues from agricultural/sylviculture processes using chemicals --&gt; 1 point
- Biomass is from Crops generally using chemical --&gt; 2 points
- Same than above but from country with indicator of kg of pesticide per Ha of cropland &gt;5 (see reference)</t>
  </si>
  <si>
    <t>▪ Begin by researching the specific region or country from which the biomass originates. 
▪Desktop research to check if there are cases of chemical poisoning, and use of hazardous agrochemical 
https://www.worldometers.info/food-agriculture/pesticides-by-country/</t>
  </si>
  <si>
    <t>▪Select biomass that is produced from agroecology practices that favor biodiversity and which does not require pesticides and herbicides.
▪ Select biomass that is produced in areas with objectives of reduction of chemicals used in agriculture</t>
  </si>
  <si>
    <t>N/A</t>
  </si>
  <si>
    <t>Are the biomass produced in the region that has potential risk of water stress?</t>
  </si>
  <si>
    <t>Based on Aqueduct Water Risk Atlas, please choose one answer that describes the situation:
A. Extremely High
B. High
C. Medium
D. Low</t>
  </si>
  <si>
    <t>Question range from the Atlas
- If area in High or Extremely high --&gt; 3 points
- If Medium/High --&gt; 2 points
- If Low/medium --&gt; 1 point
- If Low --&gt; 0 point</t>
  </si>
  <si>
    <r>
      <t>Use Aqueduct Water Risk Atlas .</t>
    </r>
    <r>
      <rPr>
        <sz val="12"/>
        <color theme="4"/>
        <rFont val="Arial"/>
        <family val="2"/>
        <charset val="163"/>
      </rPr>
      <t xml:space="preserve"> http://www.wri.org/aqueduct</t>
    </r>
  </si>
  <si>
    <t>▪Select biomass sources with the lower water consumption, especially in region with a risk of usages conflicts (no irrigation or processed industrial water).
▪Biomass production has taken measure to reduce water usage or is incorporated into a wider watershed plan for a balanced share of water</t>
  </si>
  <si>
    <t>Y/N question</t>
  </si>
  <si>
    <t>Check with supplier</t>
  </si>
  <si>
    <t>Y/N question but scoring different:
- if Y with no particular treatment process or waste storage other than raw material - 0 points
- - if N with no particular treatment process or waste storage other than raw material - 1 points
- if Y but referring to conversion processes such as methanization, distilation, estherification --&gt; 2 points
- if N but referring to conversion processes such as methanization, distilation, estherification --&gt; 3 points</t>
  </si>
  <si>
    <t>▪Document review
▪Site check at biofuel producer if feasible</t>
  </si>
  <si>
    <t>Y/N question to be answered on a country basis</t>
  </si>
  <si>
    <t>Does the biomass user implement control measures of pollutant emission from the combustion process aligning with national air regulations ?</t>
  </si>
  <si>
    <r>
      <t xml:space="preserve">Please choose one answer that describes the situation:
A. Solid biomass is used and </t>
    </r>
    <r>
      <rPr>
        <u/>
        <sz val="12"/>
        <color theme="1"/>
        <rFont val="Arial"/>
        <family val="2"/>
        <charset val="163"/>
      </rPr>
      <t>no</t>
    </r>
    <r>
      <rPr>
        <sz val="12"/>
        <color theme="1"/>
        <rFont val="Arial"/>
        <family val="2"/>
        <charset val="163"/>
      </rPr>
      <t xml:space="preserve"> control measures are implemented.
B. Biogas or biofuels are used and </t>
    </r>
    <r>
      <rPr>
        <u/>
        <sz val="12"/>
        <color theme="1"/>
        <rFont val="Arial"/>
        <family val="2"/>
        <charset val="163"/>
      </rPr>
      <t>no</t>
    </r>
    <r>
      <rPr>
        <sz val="12"/>
        <color theme="1"/>
        <rFont val="Arial"/>
        <family val="2"/>
        <charset val="163"/>
      </rPr>
      <t xml:space="preserve"> control measures are implemented.
C. Liquid biofuels, or solid biomass is used and control measures are implemented.
D. Biogas is used and control measures are implemented.</t>
    </r>
  </si>
  <si>
    <t>Y/N question but scoring different:
- if Y using biogas --&gt; 0 point
- if Y using liquid biofuels, or solid biomass --&gt; 1 point
- if N using biogas or biofuels --&gt; 2 points
- if N using using solid biomass --&gt; 3 points</t>
  </si>
  <si>
    <t>▪Document review
▪Site check at manufacturer if feasible</t>
  </si>
  <si>
    <t>Please answer Yes or No</t>
  </si>
  <si>
    <t xml:space="preserve">Y/N question/Unknown </t>
  </si>
  <si>
    <t>Check the primary data from vendor/primary supplier</t>
  </si>
  <si>
    <t>Is the region from where you are sourcing biomass inhabitated by ethnic minorities/and or indigenous people?</t>
  </si>
  <si>
    <t>Y/N</t>
  </si>
  <si>
    <t>Check if the region of the primary source of Biomass is designated by the local government as a areas inhabited by indigenous people/ethnic minorities. Source of information: Government portal/website</t>
  </si>
  <si>
    <t>▪ Audits on suppliers and biomass sources may be performed to ensure that communities have not been affected by the development of the biomass supply chain in term of land rights
▪ Select biomass sources from a region that indigenous peoples have not been affected by the development of the biomass supply chain in term of land rights.</t>
  </si>
  <si>
    <t>Does the local/national regulation require the preparation of studies assessing environmental and social risks (i.e., ESIA) for facilities producing/transforming biomass and/or using biomass (for the factory) in the context of the selected biomass option (considering type and size of facility)?</t>
  </si>
  <si>
    <t>Please answer Yes or No or Unknown</t>
  </si>
  <si>
    <t>Combine score of questions 8, 9, 10, 11 + 14</t>
  </si>
  <si>
    <t>Check national regulation on requirement of environmental and social impact/risk assessment for biomass/bioenergy production factory</t>
  </si>
  <si>
    <t>Does the country or region where the biomass is produced has labor policies for minimal wages, annual leaves, protection against abusive contract termination?</t>
  </si>
  <si>
    <t>Please answer Yes, Partially, No, or Unknown</t>
  </si>
  <si>
    <t>Still pending</t>
  </si>
  <si>
    <t>Check national regulation on labor policy</t>
  </si>
  <si>
    <t>Please answer Yes, No, or N/A if no supplier has been identified</t>
  </si>
  <si>
    <t>Combine score of questions 8, 10, 11 +16</t>
  </si>
  <si>
    <r>
      <rPr>
        <b/>
        <sz val="12"/>
        <color rgb="FF000000"/>
        <rFont val="Arial"/>
        <family val="2"/>
        <charset val="163"/>
      </rPr>
      <t>If you do not know, please check</t>
    </r>
    <r>
      <rPr>
        <sz val="12"/>
        <color rgb="FF000000"/>
        <rFont val="Arial"/>
        <family val="2"/>
        <charset val="163"/>
      </rPr>
      <t>: 
Check Safety Policy, Safety Certification such as ISO 45001, OHSAS, Local Government Safety Rules 
Supplier's Document review : Training records</t>
    </r>
  </si>
  <si>
    <t>Y/N question/Not applicable --&gt; Y (1point, Unknwon 2 point, N --&gt; 3 point)</t>
  </si>
  <si>
    <t xml:space="preserve">Supplier's Document review: Policy 
</t>
  </si>
  <si>
    <t>Does the biomass sourced from the region where violation of human rights or labour rights have been reported in recent 5 years?</t>
  </si>
  <si>
    <t>Y/N question/Not applicable --&gt; Y (3point,- trigger High risk  Unknwon 2 point, N --&gt; 1point)</t>
  </si>
  <si>
    <t>Check media source</t>
  </si>
  <si>
    <t>▪ Prioritize biomass suppliers that have anti-child labour and forced labour policy and management system in-place.
▪ Select/Encourage suppliers to implement measures to prevent child labour/ forced labour if risk-factors for child labour/forced labour have been identified in the sourcing region and the supplier has not implemented adequate controls to mitigate the risk.</t>
  </si>
  <si>
    <t>Does the biomass come from a country that has a child labor &amp; Slavery risk?</t>
  </si>
  <si>
    <t>Please choose one answer that describes the situation:
A. Country is above 10%
B. Country is between 5-10%
C. Country is below 5%</t>
  </si>
  <si>
    <t>Question range
if country is above 10% --&gt; 3 points
if country is between 5-10% --&gt; 2 points
if country is below 5 % --&gt; 1 point</t>
  </si>
  <si>
    <r>
      <t xml:space="preserve">Check website: </t>
    </r>
    <r>
      <rPr>
        <sz val="12"/>
        <color theme="4"/>
        <rFont val="Arial"/>
        <family val="2"/>
        <charset val="163"/>
      </rPr>
      <t>https://ourworldindata.org/child-labor</t>
    </r>
    <r>
      <rPr>
        <sz val="12"/>
        <color theme="1"/>
        <rFont val="Arial"/>
        <family val="2"/>
        <charset val="163"/>
      </rPr>
      <t xml:space="preserve">
Or use Global Risk Assessment Tool </t>
    </r>
    <r>
      <rPr>
        <sz val="12"/>
        <color theme="4"/>
        <rFont val="Arial"/>
        <family val="2"/>
        <charset val="163"/>
      </rPr>
      <t>(https://gst-prod.gras-system.org/)</t>
    </r>
  </si>
  <si>
    <t>Social development &amp; Food Security</t>
  </si>
  <si>
    <t>Has the country /region that you are sourcing biomass exposed potential risk of food security?</t>
  </si>
  <si>
    <t>Please choose one answer that describes the situation:
A. Score is below 29%
B. Score is between 30-59%
C. Score is between 60-89%
D. Score is above 90%</t>
  </si>
  <si>
    <t>From UNCCD:
if Score above 90% --&gt; 0 points
if score between 60 to 89% --&gt; 1 points
if score betwwen 30 to 59% --&gt; 2 points
if score below 29% --&gt; 3 points</t>
  </si>
  <si>
    <r>
      <t>Desktop research on Food security of a region or country by using global database, as follows:
▪The Global Food Security Index | UNCCD
▪Food and Agriculture Organization Corporate Statistical Database (</t>
    </r>
    <r>
      <rPr>
        <sz val="12"/>
        <color theme="4"/>
        <rFont val="Arial"/>
        <family val="2"/>
        <charset val="163"/>
      </rPr>
      <t>https://www.fao.org/faostat/)</t>
    </r>
  </si>
  <si>
    <t xml:space="preserve">▪ Prioritize non-edible crops and agricultural residues that don’t fall into competition with food practices of the communities.
▪ Select biomass that is produced on land that cannot be used for agriculture
</t>
  </si>
  <si>
    <t xml:space="preserve">Is the biomass feedstock generally used for:
1. food production, </t>
  </si>
  <si>
    <t xml:space="preserve">Multiple choice question: Score as many points as answer ticked. If three answers ticked --&gt; 3 points; if none of them --&gt; 0 points </t>
  </si>
  <si>
    <t xml:space="preserve">2. livestock feeding, or </t>
  </si>
  <si>
    <t>3. soil amendment on agricultural land?</t>
  </si>
  <si>
    <t xml:space="preserve">Does the biomass feedstock production requires:
1. Use of agricultural land, </t>
  </si>
  <si>
    <t>2. fertilizers, and other widely used phytosanitary products improving productivity of the land</t>
  </si>
  <si>
    <t>3. other resources that can be used otherwise for food production?</t>
  </si>
  <si>
    <t>Please choose one answer that describes the situation:
A. Global companies
B. Medium companies
C. Small SMEs/ coooperatives
D. Forestry community</t>
  </si>
  <si>
    <t>Question range for biomass supplier:
- Forestry community --&gt; 0 points
- Small SMEs/cooperatives --&gt; 1 point
- Medium companies --&gt; 2 points
- Global companies --&gt; 3 points</t>
  </si>
  <si>
    <t>Interview with supplier</t>
  </si>
  <si>
    <t>Has the biomass been produced from a country with low Human development, as documented by the Inequality-adjusted Human development Index - IHDI or the Human Development Index - HDI?</t>
  </si>
  <si>
    <t>Please choose one answer that describes the situation
A. Biomass sourced from a country with an IHDI value lower than 0.48 and HDI value lower than 0.65
B. Biomass sourced from a country with an IHDI value lower than 0.64 and HDI value lower than 0.76</t>
  </si>
  <si>
    <t>IHDI&lt;0.48, HDI&lt;0.65 - 1 point
IHDI&lt; 0.64, HDI&lt;0.75: 2 point</t>
  </si>
  <si>
    <r>
      <t xml:space="preserve">Review the IHDI and HDI via the UNDP Human Development Indicators World Map
</t>
    </r>
    <r>
      <rPr>
        <sz val="12"/>
        <color theme="4"/>
        <rFont val="Arial"/>
        <family val="2"/>
        <charset val="163"/>
      </rPr>
      <t>https://hdr.undp.org/inequality-adjusted-human-development-index#/indicies/IHDI</t>
    </r>
  </si>
  <si>
    <t>▪Select biomass supplier/biomas producers that contribute to the social and economic development of local, indigenous peoples and community.
▪ Factory is directly supplied by the biomass supplier (limiting the amount of brokers and intermediates)</t>
  </si>
  <si>
    <t>Question range
If above 0.9 --&gt; 0 point
if 0.7-0.89 --&gt; 1 point
if 0.5 to 0.69 --&gt; 2 points
if &lt;0.5 --&gt; 3 points</t>
  </si>
  <si>
    <t>Interview with supplier - check management teams
Or check gender index per country</t>
  </si>
  <si>
    <t xml:space="preserve">Decision </t>
  </si>
  <si>
    <t>Input answer here</t>
  </si>
  <si>
    <t>Please do not put answers for N/A indicator. If an answer is accidentally keyed in for such, simply delete the answer.</t>
  </si>
  <si>
    <t>Indicator Applicability</t>
  </si>
  <si>
    <t>Score combined</t>
  </si>
  <si>
    <t>Sum score</t>
  </si>
  <si>
    <t>Max score</t>
  </si>
  <si>
    <t>Sum Max score</t>
  </si>
  <si>
    <t>Indicator Risk</t>
  </si>
  <si>
    <t>Driver Risk</t>
  </si>
  <si>
    <t>Hide this column</t>
  </si>
  <si>
    <t>Not applicable</t>
  </si>
  <si>
    <t xml:space="preserve">If the factories intend to/are using biomass to replace national-grid electricity for energy use, Kindly check emission factors of national grid electricity then select your answer </t>
  </si>
  <si>
    <t>Is the biomass source linked to deforestation/ is sourced from a region that has a risk of deforestation?</t>
  </si>
  <si>
    <t>Is the biomass/biofuel produced/sourced from the area/region with significantly high biodiversity value or nearby a protected area- have rare, endangered or threatened species?</t>
  </si>
  <si>
    <t>Partially</t>
  </si>
  <si>
    <t>Unknown</t>
  </si>
  <si>
    <t>Is the biomass produced in the region that has a potential risk of water stress?</t>
  </si>
  <si>
    <t>Does the biomass user implement control measures of pollutant emissions from the combustion process?</t>
  </si>
  <si>
    <t>Human &amp; labor rights</t>
  </si>
  <si>
    <t>Does the local/national regulation requires the preparation of studies assessing environmental and social risks (i.e., ESIA) for facilities producing/transforming biomass and/or using biomass (for the factory) in the context of the selected biomass option (considering type and size of facility)?</t>
  </si>
  <si>
    <t>Does the biomass come from a country that has a child labor &amp; slavery risk?</t>
  </si>
  <si>
    <t>Social development &amp; food security</t>
  </si>
  <si>
    <t>Is the country/region that you are sourcing biomass from exposed to potential risk of food security?</t>
  </si>
  <si>
    <t>GO TO TAB "DETAILED ASSESSMENT RESULT"</t>
  </si>
  <si>
    <t>Max Score</t>
  </si>
  <si>
    <t>Legend</t>
  </si>
  <si>
    <t>High Risk</t>
  </si>
  <si>
    <t>Medium Risk</t>
  </si>
  <si>
    <t>Low Risk</t>
  </si>
  <si>
    <t>Mitigation option No. 1</t>
  </si>
  <si>
    <t>Mitigation option No. 2</t>
  </si>
  <si>
    <t>Mitigation option No. 3</t>
  </si>
  <si>
    <t>Sum Indi</t>
  </si>
  <si>
    <t>Sum Max</t>
  </si>
  <si>
    <t>Reduction score</t>
  </si>
  <si>
    <t>New Indi</t>
  </si>
  <si>
    <t>Post-Mitigation Indicator Risk</t>
  </si>
  <si>
    <t>Post-Mitigation Driver Risk</t>
  </si>
  <si>
    <t>Decision</t>
  </si>
  <si>
    <t>Does the biomass product require:
1. The use of fossil fuels during its treatment (drying, densification)?</t>
  </si>
  <si>
    <t>3. To be transported over long distance (&gt;100km) from its production location?</t>
  </si>
  <si>
    <t xml:space="preserve">
Is the biomass produced on a land legally belonging to the producer of the Biomass?</t>
  </si>
  <si>
    <t>Has the biomass/biofuel producer or supplier implemented control systems and procedures to verify that feedstock is not supplied using practices leading to violation of Labour and Human Rights?</t>
  </si>
  <si>
    <t>Is the biomass/biofuel producer or supplier been legally notified about any violation of Human Rights/Child Labour in the local area in the last 5 years</t>
  </si>
  <si>
    <t xml:space="preserve">Does the biomass producer (suppliers) engage with forms community based cooperatives or other local business guarantying employment for local population? </t>
  </si>
  <si>
    <t>Has the biomass been produced from a country with low human development, as documented by the Inequality-adjusted Human Development Index - IHDI or the Human Development Index - HDI?</t>
  </si>
  <si>
    <t xml:space="preserve">Sustainability Assessment Questions </t>
  </si>
  <si>
    <t>Sustainability Assessment Questions</t>
  </si>
  <si>
    <t>A. Emission factor of the electricity grid in the country is below 200g/kWh
B. Emission factor of the electricity grid in the country is above 200g/kWh
C. Unknown</t>
  </si>
  <si>
    <t>Conservation &amp; natural resources</t>
  </si>
  <si>
    <t xml:space="preserve">Production and utilization of biofuels may generate emissions of GHGs (CO2, CH4, N2O) that are not fully compensated by the amount of carbon stored during the life-cycle of the biomass. These emissions contribute to impacts of climate change and its consequences in terms of optimal conditions for production of biomass as well as in the supply-chain organization. </t>
  </si>
  <si>
    <t>GHG emissions from biomass utilization (combustion)</t>
  </si>
  <si>
    <t xml:space="preserve">The extraction and/or production of biomass may pose a threat on ecosystems and biodiversity. Habitat loss and degradation occurs due to land use change to agricultural, production forests or artificialized lands as well as due to use of chemicals, over-exploitation, unsustainable use of land and, cultivation of invasive alien species. A growing demand for agricultural crops for biofuel production contribute to an increased risk of deforestation and loss of land with high biodiversity value such as key protected area or key biodiversity area. Solid biomass (e.g. wood chip, pellets) from unknown origin could be sourced by illegal logging, thereby creating impact on biodiversity and ecosystems. </t>
  </si>
  <si>
    <t xml:space="preserve">Production and utilisation of biomass may affect the rights of communities in terms of land rights (particularly for minorities and indigenous people); may have an impact on the health due to unsustainable production and/or utilisation practices. 
Labor involved in the production, processing and utilisation of biomass has a right to decent remuneration at the least equivalent to the local/national averages or as stipulated by the law. Any deviation from the good practice may result into human rights violation and have a potential to impact the reputation of all involved in the value chain, even if the factory is directly not causing the impact. 
Certain activities in the overall biomass production and utilisation value chain are exposed to the risk of use of child labour (for e.g., cultivation of agricultural produce, sorting, waste management etc.). Use of child labour in any of the activities is a significant risk and is against the legal laws/global human rights principles.     </t>
  </si>
  <si>
    <t>Note: Cells will turn red to notify that mitigation measures have already been chosen (duplication). Please choose other mitigation measures or press Delete to leave the cell blank if no other mitigation measures are intended.</t>
  </si>
  <si>
    <t>The biomass producer can justify providing more advantageous conditions than the minimum wages to its workers</t>
  </si>
  <si>
    <t>Biomass producers/suppliers are constituted in agricultural or forestry cooperatives</t>
  </si>
  <si>
    <t>Biomass is produced from non-edible crops</t>
  </si>
  <si>
    <t>Implement appropriate Energy Management System (such as ISO 50001).</t>
  </si>
  <si>
    <t>What is the biomass category?</t>
  </si>
  <si>
    <t>Biomass producers/suppliers are generally constituted in agricultural or forestry cooperatives</t>
  </si>
  <si>
    <t>Solid agricultural waste</t>
  </si>
  <si>
    <t>Solid wood and other products extracted from forests</t>
  </si>
  <si>
    <t>Organic waste from Industries and Municipal Solid Waste</t>
  </si>
  <si>
    <t>Animal manures as residues from livestock processes</t>
  </si>
  <si>
    <t>FSC</t>
  </si>
  <si>
    <t>Biomass is produced on land that was previously already artificialized for human activities by 31st December 2020</t>
  </si>
  <si>
    <t>Please answer Yes, No, or Unknown</t>
  </si>
  <si>
    <t>Mitigation measure 1</t>
  </si>
  <si>
    <t>Mitigation measure 2</t>
  </si>
  <si>
    <t>GO TO TAB "BASIC ASSESSMENT RESULT"</t>
  </si>
  <si>
    <t>What is the purpose of the assessment? 
1. Assess the sustainability of potential choices of biomass for use in the factory In the future
2. Assess sustainability of biomass already in use</t>
  </si>
  <si>
    <t>Evaluation Indicators</t>
  </si>
  <si>
    <t>Groups of biomass</t>
  </si>
  <si>
    <t>Environment</t>
  </si>
  <si>
    <t>Social</t>
  </si>
  <si>
    <t xml:space="preserve">Social development &amp; Local food security </t>
  </si>
  <si>
    <t>Technical &amp; Economic</t>
  </si>
  <si>
    <t>Energy efficiency &amp; Clean energy solutions</t>
  </si>
  <si>
    <t>Legality &amp; Compliance</t>
  </si>
  <si>
    <t>Responsible consumption &amp; Production</t>
  </si>
  <si>
    <t>Post-mitigation Risk Level</t>
  </si>
  <si>
    <t>Score</t>
  </si>
  <si>
    <t>Indicator</t>
  </si>
  <si>
    <t>Post-mitigation score</t>
  </si>
  <si>
    <t>Purpose</t>
  </si>
  <si>
    <t>Assess the sustainability of potential choices of biomass for use in the factory In the future</t>
  </si>
  <si>
    <t>Assess sustainability of biomass already in use</t>
  </si>
  <si>
    <t xml:space="preserve">Based on Global Forest Watch, please choose one answer that describes the situation:
A. Commodity driven deforestation is more than 25% relatively to the annual tree cover losses of the country
B. Commodity driven deforestation is 10% to 25% relatively to the annual tree cover losses of the country
C. Commodity driven deforestation is less than 10% relatively to the annual tree cover losses of the country
D. Unknown
</t>
  </si>
  <si>
    <t>Please choose one answer that describes the situation:
A. Occur in protected areas / high biodiversity value areas
B. Occur in close proximity (Less than 10 km) to protected areas/ high biodiversity value areas 
C. Occur in area that is more than 10km to protected areas / high biodiversity value areas
D. Unknown</t>
  </si>
  <si>
    <t>Please answer Yes, No or Unknown</t>
  </si>
  <si>
    <t>Increased and equitable share of revenues &amp; employment opportunities for local communities development</t>
  </si>
  <si>
    <t>Water &amp; Soil contamination</t>
  </si>
  <si>
    <t>▪Review supplier's technical document of  biomass/biofuel production process
▪Site check at Biomass/ Biofuel producer if feasible</t>
  </si>
  <si>
    <t>▪Review biomass supplier's documents, including:
- Environment Impact Assessment
- Wastewater Management Plan
- Wastewater discharge permit/ valid contract for solid waste and wastewater treatment
▪Site check at Biomass/ Biofuel producer if feasible</t>
  </si>
  <si>
    <t>Wood from natural forest</t>
  </si>
  <si>
    <t>Does the local/national regulation require the preparation of studies assessing environmental and social risks (i.e., Environmental and Social Assessment Report) for facilities producing/transforming biomass and/or using biomass (for the factory) in the context of the selected biomass option (considering type and size of facility)?</t>
  </si>
  <si>
    <t>Review biomass supplier's policy and control measures to prevent public health and safety risks in the form of Environmental and Social Assessment Report.
Check media sources</t>
  </si>
  <si>
    <t>No drying is required or it occurs before medium/long term storage</t>
  </si>
  <si>
    <t>Factory has implemented measures and technologies to reduce air pollutants (NOx, SOx, PM and other pollutants)</t>
  </si>
  <si>
    <t>Check with biomass/biofuel supplier</t>
  </si>
  <si>
    <t>Justification</t>
  </si>
  <si>
    <t>Are the manufacturer and apparel brand engaged in an approach of Responsible Consumption and Production responding to basic needs and bring a better quality of life while minimizing the use of natural resources and reducing impacts on environment and society?</t>
  </si>
  <si>
    <t>Has the manufacturer considered options to improve energy efficiency at site in order to reduce the energy needs and the potential of other clean energy technology ?</t>
  </si>
  <si>
    <t>Answer (Y/N)</t>
  </si>
  <si>
    <t>Know about the main technical &amp; economic characteristics of the considered biomass source</t>
  </si>
  <si>
    <t>Water &amp; soil contamination</t>
  </si>
  <si>
    <t xml:space="preserve">Human rights, child labour and slavery </t>
  </si>
  <si>
    <t>Key Remark</t>
  </si>
  <si>
    <t>Primary products from crops used for food and energy</t>
  </si>
  <si>
    <t>Mitigation measure 3</t>
  </si>
  <si>
    <t>KEY PRINCIPLES</t>
  </si>
  <si>
    <t>Step 0: User information (Tab Overview)</t>
  </si>
  <si>
    <t>Step 1: Scope identification (Tab Overview)</t>
  </si>
  <si>
    <t>E</t>
  </si>
  <si>
    <t>Please answer Yes, No or Unknown for each item</t>
  </si>
  <si>
    <t>OVERVIEW</t>
  </si>
  <si>
    <t>Company Information</t>
  </si>
  <si>
    <t>Biomass perimeter identification</t>
  </si>
  <si>
    <t>Objectives</t>
  </si>
  <si>
    <t>Check and ensure compliance with local and national laws and best practices for environmental and social risk management, business activities, ethics, etc. at any stage of the project implementation- from biomass production and supply until utilization and waste management at factory level. Appropriate permits and licenses are required and should be in alignment with the recognized standards and good practices. Supplier may provide the licenses and permits or apply best practice certifications for its feedstock (e.g. Forest Stewardship Council (FSC), Sustainable Biomass Program (SBP).</t>
  </si>
  <si>
    <t>Reducing harm on environment and society reflects in the products and services proposed by producers to consumers. Manufacturers and brands should ensure quality and longevity to the highest standards of their products, to limit tendency of overconsumption for example practices such as fast fashion as well as providing the key information of the environmental and social impact of their products to consumers.</t>
  </si>
  <si>
    <t xml:space="preserve">Conduct appropriate energy audits to identify the potential for energy savings and energy requirements ahead of the technical feasibility, therefore helping to assess the actual quantity of fuel including biomass fuel necessary to cover the energy requirements for a given unit of production. Energy audits can also inform about the most appropriate type of energy including, clean technologies such as solar energy (photovoltaic and/or thermal) or heat pumps, to be used. </t>
  </si>
  <si>
    <t>Ensure management of the waste generated (including combustion ash or smoke treatment residue) from biomass combustion/utilization. Systems to manage waste to be implemented, irrespective of the waste being non-hazardous or hazardous. This will limit environmental and social impacts as well as prevent material and/or energy recovery loss before proceeding to disposal to landfill.</t>
  </si>
  <si>
    <t>Technical &amp; Economic considerations for using biomass</t>
  </si>
  <si>
    <t>NR_4A</t>
  </si>
  <si>
    <t>AQ_1A</t>
  </si>
  <si>
    <t>AQ_2A</t>
  </si>
  <si>
    <t>HR_4A</t>
  </si>
  <si>
    <t>BASIC ASSESSMENT RESULTS</t>
  </si>
  <si>
    <t>PRE-SCREENING RESULTS</t>
  </si>
  <si>
    <t>Key principles before using biomass</t>
  </si>
  <si>
    <t>Is the selected biomass legally used in the location where the factory is located (municipality, province/region, country)?</t>
  </si>
  <si>
    <t>TECHNICAL &amp; ECONOMIC FEASIBILITY</t>
  </si>
  <si>
    <t>Who can use the Tool?</t>
  </si>
  <si>
    <t>The methodology and key steps how to apply RAT are described below.</t>
  </si>
  <si>
    <t>(3) Organic waste from industries</t>
  </si>
  <si>
    <t>(4) Organic waste from Municipal Solid Waste</t>
  </si>
  <si>
    <t>(1) agricultural waste</t>
  </si>
  <si>
    <t>(2) Plantation/ wood waste</t>
  </si>
  <si>
    <t>Sustainability certification obtention</t>
  </si>
  <si>
    <t>Compliance with local regulations</t>
  </si>
  <si>
    <t>GHG_1A</t>
  </si>
  <si>
    <t>Select suppliers that have traceability policies and can share information about the source of their biomass</t>
  </si>
  <si>
    <t>Select biomass sources from a region that indigenous peoples have not been affected by the development of the biomass supply chain in term of land rights</t>
  </si>
  <si>
    <t>Greenhouse gas (GHG) emissions from biomass production, transportation and storage (upstream)</t>
  </si>
  <si>
    <t>SD_3</t>
  </si>
  <si>
    <t>Note: Grey cells are indicators that will be filled by default</t>
  </si>
  <si>
    <t>Please do not put answers for N/A indicator. If an answer is accidentally keyed in for such, simply delete the answer. Indicators in grey that are populated by default.</t>
  </si>
  <si>
    <t>Link</t>
  </si>
  <si>
    <t>https://www.carbonfootprint.com/international_electricity_factors.html</t>
  </si>
  <si>
    <t>https://www.worldometers.info/food-agriculture/pesticides-by-country/</t>
  </si>
  <si>
    <t>https://joshuaproject.net/</t>
  </si>
  <si>
    <t>https://www.globalhungerindex.org/ranking.html</t>
  </si>
  <si>
    <t>https://hdr.undp.org/inequality-adjusted-human-development-index#/indicies/IHDI</t>
  </si>
  <si>
    <t>https://www.protectedplanet.net/en/thematic-areas/wdpa?tab=WDPA
https://gst-prod.gras-system.org/</t>
  </si>
  <si>
    <t>https://ourworldindata.org/child-labor
https://gst-prod.gras-system.org/</t>
  </si>
  <si>
    <t>https://hdr.undp.org/data-center/country-insights#/ranks</t>
  </si>
  <si>
    <t>Based on Aqueduct Water Risk Atlas, please choose one answer that describes the situation:
A. Extremely High
B. High
C. Medium
D. Low
E. Unknown</t>
  </si>
  <si>
    <t>Please choose one answer that describes the situation
A. Biomass sourced from a country with an IHDI value lower than 0.59 or an HDI value lower than 0.74
B. Biomass sourced from a country with an IHDI value exceed 0.59 and HDI value exceed 0.74.
C. Unknown</t>
  </si>
  <si>
    <t>Please choose one answer that describes the situation:
A. On-site production process and waste storage involved. No control measures implemented.
B. On-site production process and waste storage involved. Control measures are implemented. 
C. No on-site production process and waste storage involved. No control measures implemented. 
D. No on-site production process and waste storage involved. Control measures are implemented.
E. Unknown</t>
  </si>
  <si>
    <t>Please choose one answer that describes the situation:
A. Score is below 9.9 - Low ranking
B. Score is between 10.0 -19.9 - Moderate ranking
C. Score is between 20.0- 34.9 - Serious ranking
D. Score is between 35.0 -49.9 - Alarming ranking
E. Score is above 50.0 - Extremely alarming
F. Unknown</t>
  </si>
  <si>
    <t>Biomass is produced locally and/or within 100km from utilization</t>
  </si>
  <si>
    <t>Indicator not assessed due to no information about supply-chain practices therefore risk level is assigned by-default. Mitigation still can be applied in the tab "2 - Basic Assessment Results"</t>
  </si>
  <si>
    <t>Total number of applicable evaluation indicators for E&amp;S risk assessment</t>
  </si>
  <si>
    <r>
      <t xml:space="preserve">
▪Desktop research to check if there are cases of chemical poisoning, and use of hazardous agrochemicals:
</t>
    </r>
    <r>
      <rPr>
        <u/>
        <sz val="16"/>
        <color rgb="FF003362"/>
        <rFont val="Arial"/>
        <family val="2"/>
        <charset val="163"/>
      </rPr>
      <t>https://www.worldometers.info/food-agriculture/pesticides-by-country/</t>
    </r>
  </si>
  <si>
    <r>
      <t>▪Check if there are any reports published by local authorities/NGOs etc. to claim the issues of natural areas degradation by biomass plantation or cultivation
 ▪Use website such as:
1. The World Database on Protected Area (WDPA)  (</t>
    </r>
    <r>
      <rPr>
        <u/>
        <sz val="16"/>
        <color rgb="FF002060"/>
        <rFont val="Arial"/>
        <family val="2"/>
        <charset val="163"/>
      </rPr>
      <t>https://www.protectedplanet.net/en/thematic-areas/wdpa?tab=WDPA</t>
    </r>
    <r>
      <rPr>
        <sz val="16"/>
        <color theme="1"/>
        <rFont val="Arial"/>
        <family val="2"/>
        <charset val="163"/>
      </rPr>
      <t>)
- When you access the website, click "Explore Protected Areas", select Countries that you are planning to source biomass or you have already sourced biomass, then check whether the region of biomass origin or biomass production site is in nationally, regionally or internationally legally protected area.
Or use the alternative website:
2. Global Risk Assessment Tool (</t>
    </r>
    <r>
      <rPr>
        <u/>
        <sz val="16"/>
        <color rgb="FF002060"/>
        <rFont val="Arial"/>
        <family val="2"/>
        <charset val="163"/>
      </rPr>
      <t>https://gst-prod.gras-system.org</t>
    </r>
    <r>
      <rPr>
        <sz val="16"/>
        <color theme="1"/>
        <rFont val="Arial"/>
        <family val="2"/>
        <charset val="163"/>
      </rPr>
      <t>/)</t>
    </r>
  </si>
  <si>
    <r>
      <t xml:space="preserve">Use Aqueduct Water Risk Atlas . </t>
    </r>
    <r>
      <rPr>
        <u/>
        <sz val="16"/>
        <color rgb="FF002060"/>
        <rFont val="Arial"/>
        <family val="2"/>
        <charset val="163"/>
      </rPr>
      <t>http://www.wri.org/aqueduct</t>
    </r>
    <r>
      <rPr>
        <sz val="16"/>
        <color theme="1"/>
        <rFont val="Arial"/>
        <family val="2"/>
        <charset val="163"/>
      </rPr>
      <t xml:space="preserve">
- Go to the Aqueduct Water Risk Atlas website
- Select the indicator "Water Stress" and view the results for the countries/region that the biomass producer is located in.
- View the results for baseline water stress as well as for future water stress.</t>
    </r>
  </si>
  <si>
    <r>
      <t xml:space="preserve">Please choose one answer that describes the situation:
A. Solid biomass is used and </t>
    </r>
    <r>
      <rPr>
        <u/>
        <sz val="16"/>
        <color theme="1"/>
        <rFont val="Arial"/>
        <family val="2"/>
        <charset val="163"/>
      </rPr>
      <t>no</t>
    </r>
    <r>
      <rPr>
        <sz val="16"/>
        <color theme="1"/>
        <rFont val="Arial"/>
        <family val="2"/>
        <charset val="163"/>
      </rPr>
      <t xml:space="preserve"> control measures are implemented.
B. Biogas or biofuels are used and </t>
    </r>
    <r>
      <rPr>
        <u/>
        <sz val="16"/>
        <color theme="1"/>
        <rFont val="Arial"/>
        <family val="2"/>
        <charset val="163"/>
      </rPr>
      <t>no</t>
    </r>
    <r>
      <rPr>
        <sz val="16"/>
        <color theme="1"/>
        <rFont val="Arial"/>
        <family val="2"/>
        <charset val="163"/>
      </rPr>
      <t xml:space="preserve"> control measures are implemented.
C. Liquid biofuels, or solid biomass is used and control measures are implemented.
D. Biogas is used and control measures are implemented.
E. Unknown</t>
    </r>
  </si>
  <si>
    <r>
      <t xml:space="preserve">Check if the region of the primary source of biomass is designated by the local government as areas inhabited by indigenous people/ethnic minorities. </t>
    </r>
    <r>
      <rPr>
        <b/>
        <sz val="16"/>
        <color theme="1"/>
        <rFont val="Arial"/>
        <family val="2"/>
        <charset val="163"/>
      </rPr>
      <t>Source of information from the government portal/website</t>
    </r>
    <r>
      <rPr>
        <sz val="16"/>
        <color theme="1"/>
        <rFont val="Arial"/>
        <family val="2"/>
        <charset val="163"/>
      </rPr>
      <t xml:space="preserve">
Or Check the website: </t>
    </r>
    <r>
      <rPr>
        <u/>
        <sz val="16"/>
        <color rgb="FF002060"/>
        <rFont val="Arial"/>
        <family val="2"/>
        <charset val="163"/>
      </rPr>
      <t>https://joshuaproject.net/</t>
    </r>
    <r>
      <rPr>
        <sz val="16"/>
        <color theme="1"/>
        <rFont val="Arial"/>
        <family val="2"/>
        <charset val="163"/>
      </rPr>
      <t xml:space="preserve">
- In the global map, select country that biomass is sourced or produced
- In the country map, then select the region of biomass origin or biomass/biofuel manufacturer is located in then you can view the result.</t>
    </r>
  </si>
  <si>
    <r>
      <t xml:space="preserve">Desktop research on food security of a region or country by using global database, as follows:
Go to the Global Hunger Index (GHI) website. </t>
    </r>
    <r>
      <rPr>
        <u/>
        <sz val="16"/>
        <color rgb="FF002060"/>
        <rFont val="Arial"/>
        <family val="2"/>
        <charset val="163"/>
      </rPr>
      <t>https://www.globalhungerindex.org/ranking.html</t>
    </r>
    <r>
      <rPr>
        <sz val="16"/>
        <color theme="1"/>
        <rFont val="Arial"/>
        <family val="2"/>
        <charset val="163"/>
      </rPr>
      <t xml:space="preserve">
You can view the ranking on the GHI index of each country </t>
    </r>
  </si>
  <si>
    <r>
      <t xml:space="preserve">▪Check if there are any reports published by local authorities/NGOs etc. to claim the issues of natural areas degradation by biomass plantation or cultivation
 ▪Use website such as:
1. </t>
    </r>
    <r>
      <rPr>
        <b/>
        <sz val="16"/>
        <color theme="1"/>
        <rFont val="Arial"/>
        <family val="2"/>
        <charset val="163"/>
      </rPr>
      <t xml:space="preserve">The World Database on Protected Area (WDPA) </t>
    </r>
    <r>
      <rPr>
        <sz val="16"/>
        <color theme="1"/>
        <rFont val="Arial"/>
        <family val="2"/>
        <charset val="163"/>
      </rPr>
      <t xml:space="preserve"> </t>
    </r>
    <r>
      <rPr>
        <u/>
        <sz val="16"/>
        <color rgb="FF002060"/>
        <rFont val="Arial"/>
        <family val="2"/>
        <charset val="163"/>
      </rPr>
      <t>(https://www.protectedplanet.net/en/thematic-areas/wdpa?tab=WDPA)</t>
    </r>
    <r>
      <rPr>
        <sz val="16"/>
        <color theme="1"/>
        <rFont val="Arial"/>
        <family val="2"/>
        <charset val="163"/>
      </rPr>
      <t xml:space="preserve">
- When you access the website, click "Explore Protected Areas", select Countries that you are planning to source biomass or you have already sourced biomass, then check whether the region of biomass origin or biomass production site is in nationally, regionally or internationally legally protected area.
Or use the alternative website:
2. </t>
    </r>
    <r>
      <rPr>
        <b/>
        <sz val="16"/>
        <color theme="1"/>
        <rFont val="Arial"/>
        <family val="2"/>
        <charset val="163"/>
      </rPr>
      <t>Global Risk Assessment Tool</t>
    </r>
    <r>
      <rPr>
        <sz val="16"/>
        <color theme="1"/>
        <rFont val="Arial"/>
        <family val="2"/>
        <charset val="163"/>
      </rPr>
      <t xml:space="preserve"> </t>
    </r>
    <r>
      <rPr>
        <u/>
        <sz val="16"/>
        <color rgb="FF002060"/>
        <rFont val="Arial"/>
        <family val="2"/>
        <charset val="163"/>
      </rPr>
      <t>(https://gst-prod.gras-system.org/)</t>
    </r>
  </si>
  <si>
    <r>
      <t xml:space="preserve">▪Interview of supplier
▪Desktop research to check if there are cases of chemical poisoning, and use of hazardous agrochemical 
</t>
    </r>
    <r>
      <rPr>
        <u/>
        <sz val="16"/>
        <color rgb="FF002060"/>
        <rFont val="Arial"/>
        <family val="2"/>
        <charset val="163"/>
      </rPr>
      <t>https://www.worldometers.info/food-agriculture/pesticides-by-country/</t>
    </r>
  </si>
  <si>
    <r>
      <t>Use Aqueduct Water Risk Atlas .</t>
    </r>
    <r>
      <rPr>
        <sz val="16"/>
        <color theme="4"/>
        <rFont val="Arial"/>
        <family val="2"/>
        <charset val="163"/>
      </rPr>
      <t xml:space="preserve"> </t>
    </r>
    <r>
      <rPr>
        <u/>
        <sz val="16"/>
        <color rgb="FF003362"/>
        <rFont val="Arial"/>
        <family val="2"/>
        <charset val="163"/>
      </rPr>
      <t xml:space="preserve">http://www.wri.org/aqueduct
</t>
    </r>
    <r>
      <rPr>
        <sz val="16"/>
        <color rgb="FF003362"/>
        <rFont val="Arial"/>
        <family val="2"/>
        <charset val="163"/>
      </rPr>
      <t xml:space="preserve">- </t>
    </r>
    <r>
      <rPr>
        <sz val="16"/>
        <rFont val="Arial"/>
        <family val="2"/>
        <charset val="163"/>
      </rPr>
      <t>Go to the Aqueduct Water Risk Atlas website
- Select the indicator "Water Stress" and view the results for the countries/region that the biomass producer is located in.
- View the results for baseline water stress as well as for future water stress.</t>
    </r>
  </si>
  <si>
    <r>
      <t xml:space="preserve">Check if the region of the primary source of Biomass is designated by the local government as a areas inhabited by indigenous people/ethnic minorities. </t>
    </r>
    <r>
      <rPr>
        <b/>
        <sz val="16"/>
        <color theme="1"/>
        <rFont val="Arial"/>
        <family val="2"/>
        <charset val="163"/>
      </rPr>
      <t>Source of information: Government portal/website</t>
    </r>
    <r>
      <rPr>
        <sz val="16"/>
        <color theme="1"/>
        <rFont val="Arial"/>
        <family val="2"/>
        <charset val="163"/>
      </rPr>
      <t xml:space="preserve">
Or Check the website: </t>
    </r>
    <r>
      <rPr>
        <u/>
        <sz val="16"/>
        <color rgb="FF002060"/>
        <rFont val="Arial"/>
        <family val="2"/>
        <charset val="163"/>
      </rPr>
      <t xml:space="preserve">https://joshuaproject.net/
</t>
    </r>
    <r>
      <rPr>
        <sz val="16"/>
        <rFont val="Arial"/>
        <family val="2"/>
        <charset val="163"/>
      </rPr>
      <t xml:space="preserve">- In the global map, select country that biomass is sourced or produced
- In the country map, then select the region of biomass origin or biomass/biofuel manufacturer is located in then you can view the result. </t>
    </r>
  </si>
  <si>
    <r>
      <rPr>
        <b/>
        <sz val="16"/>
        <color rgb="FF000000"/>
        <rFont val="Arial"/>
        <family val="2"/>
        <charset val="163"/>
      </rPr>
      <t>If you do not know, please check</t>
    </r>
    <r>
      <rPr>
        <sz val="16"/>
        <color rgb="FF000000"/>
        <rFont val="Arial"/>
        <family val="2"/>
        <charset val="163"/>
      </rPr>
      <t>: 
Check Safety Policy, Safety Certification such as ISO 45001, OHSAS, Local Government Safety Rules 
Supplier's Document review : Training records</t>
    </r>
  </si>
  <si>
    <r>
      <t xml:space="preserve">Desktop research on food security of a region or country by using global database, as follows:
Go to the Global Hunger Index (GHI) website. </t>
    </r>
    <r>
      <rPr>
        <u/>
        <sz val="16"/>
        <color rgb="FF002060"/>
        <rFont val="Arial"/>
        <family val="2"/>
        <charset val="163"/>
      </rPr>
      <t xml:space="preserve">https://www.globalhungerindex.org/ranking.html
</t>
    </r>
    <r>
      <rPr>
        <sz val="16"/>
        <rFont val="Arial"/>
        <family val="2"/>
        <charset val="163"/>
      </rPr>
      <t xml:space="preserve">You can view the ranking on the GHI index of each country </t>
    </r>
  </si>
  <si>
    <r>
      <t>▪Check if there are any reports published by local authorities/NGOs etc. to claim the issues of natural areas degradation by biomass plantation or cultivation
 ▪Use website such as:
1. The World Database on Protected Area (WDPA)  (</t>
    </r>
    <r>
      <rPr>
        <u/>
        <sz val="16"/>
        <color rgb="FF002060"/>
        <rFont val="Arial"/>
        <family val="2"/>
        <charset val="163"/>
      </rPr>
      <t>https://www.protectedplanet.net/en/thematic-areas/wdpa?tab=WDPA</t>
    </r>
    <r>
      <rPr>
        <sz val="16"/>
        <color theme="1"/>
        <rFont val="Arial"/>
        <family val="2"/>
        <charset val="163"/>
      </rPr>
      <t>)
- When you access the website, click "Explore Protected Areas", select Countries that you are planning to source biomass or you have already sourced biomass, then check whether the region of biomass origin or biomass production site is in nationally, regionally or internationally legally protected area.
Or use the alternative website:
2. Global Risk Assessment Tool (</t>
    </r>
    <r>
      <rPr>
        <u/>
        <sz val="16"/>
        <color rgb="FF002060"/>
        <rFont val="Arial"/>
        <family val="2"/>
        <charset val="163"/>
      </rPr>
      <t>https://gst-prod.gras-system.org/</t>
    </r>
    <r>
      <rPr>
        <sz val="16"/>
        <color theme="1"/>
        <rFont val="Arial"/>
        <family val="2"/>
        <charset val="163"/>
      </rPr>
      <t>)</t>
    </r>
  </si>
  <si>
    <r>
      <t xml:space="preserve">Check if the region of the primary source of Biomass is designated by the local government as a areas inhabited by indigenous people/ethnic minorities. Source of information: Government portal/website
Or Check the website: </t>
    </r>
    <r>
      <rPr>
        <u/>
        <sz val="16"/>
        <color rgb="FF002060"/>
        <rFont val="Arial"/>
        <family val="2"/>
        <charset val="163"/>
      </rPr>
      <t xml:space="preserve">https://joshuaproject.net/
</t>
    </r>
    <r>
      <rPr>
        <sz val="16"/>
        <color theme="1"/>
        <rFont val="Arial"/>
        <family val="2"/>
        <charset val="163"/>
      </rPr>
      <t xml:space="preserve">- In the global map, select country that biomass is sourced or produced
- In the country map, then select the region of biomass origin or biomass/biofuel manufacturer is located in then you can view the result. </t>
    </r>
  </si>
  <si>
    <t xml:space="preserve">Please choose one answer that describes the situation:
A. Country is above 10%
B. Country is between 5-10%
C. Country is below 5%
D. Unknown
</t>
  </si>
  <si>
    <r>
      <t>Check media source such as :</t>
    </r>
    <r>
      <rPr>
        <u/>
        <sz val="16"/>
        <color rgb="FF003362"/>
        <rFont val="Arial"/>
        <family val="2"/>
        <charset val="163"/>
      </rPr>
      <t xml:space="preserve"> https://ourworldindata.org/child-labor</t>
    </r>
    <r>
      <rPr>
        <sz val="16"/>
        <color theme="1"/>
        <rFont val="Arial"/>
        <family val="2"/>
        <charset val="163"/>
      </rPr>
      <t xml:space="preserve">
Or use Global Risk Assessment Tool (</t>
    </r>
    <r>
      <rPr>
        <u/>
        <sz val="16"/>
        <color rgb="FF003362"/>
        <rFont val="Arial"/>
        <family val="2"/>
        <charset val="163"/>
      </rPr>
      <t>https://gst-prod.gras-system.org</t>
    </r>
    <r>
      <rPr>
        <sz val="16"/>
        <color theme="1"/>
        <rFont val="Arial"/>
        <family val="2"/>
        <charset val="163"/>
      </rPr>
      <t xml:space="preserve">/)
Note: % is the share of children (7-14 years old) in employment (as defined in terms of involvement in economic activities for at least one hour a week) per country </t>
    </r>
  </si>
  <si>
    <t>2. fertilizers, and other widely used phytosanitary products improving productivity of the land?</t>
  </si>
  <si>
    <t>Does the biomass feedstock production requires:
1. Use of agricultural land?</t>
  </si>
  <si>
    <t>Is the biomass feedstock generally used for:
1. food production?</t>
  </si>
  <si>
    <t>2. livestock feeding?</t>
  </si>
  <si>
    <t xml:space="preserve">Biomass production follows measures/recommendations as per Clean Air act policies related to agricultural waste burning </t>
  </si>
  <si>
    <t>2. Long term storage beyond 2 month for solid biomass?</t>
  </si>
  <si>
    <t>Please choose one answer that describes the situation:
A. Country is above 10%
B. Country is between 5-10%
C. Country is below 5%
D. Unknown</t>
  </si>
  <si>
    <r>
      <t xml:space="preserve">Review Biomass Supplier's Document Policy, Standards, and/or Statement related to:
- Labor Practices
- Quality, Health,Safety, Environment
- Human Right Policy. Child &amp; Forced Labour Policy
- Diversity &amp; Inclusion (Non-discrimination) Policy
Check media source such as : </t>
    </r>
    <r>
      <rPr>
        <u/>
        <sz val="16"/>
        <color rgb="FF002060"/>
        <rFont val="Arial"/>
        <family val="2"/>
        <charset val="163"/>
      </rPr>
      <t>https://ourworldindata.org/child-labor</t>
    </r>
    <r>
      <rPr>
        <sz val="16"/>
        <color theme="1"/>
        <rFont val="Arial"/>
        <family val="2"/>
        <charset val="163"/>
      </rPr>
      <t xml:space="preserve">
Or use Global Risk Assessment Tool </t>
    </r>
    <r>
      <rPr>
        <u/>
        <sz val="16"/>
        <color rgb="FF002060"/>
        <rFont val="Arial"/>
        <family val="2"/>
        <charset val="163"/>
      </rPr>
      <t>(https://gst-prod.gras-system.org/)</t>
    </r>
    <r>
      <rPr>
        <sz val="16"/>
        <color theme="1"/>
        <rFont val="Arial"/>
        <family val="2"/>
        <charset val="163"/>
      </rPr>
      <t xml:space="preserve">
Note: % is the share of children (7-14 years old) in employment (as defined in terms of involvement in economic activities for at least one hour a week) per country.</t>
    </r>
  </si>
  <si>
    <t>Loss of biodiversity due to increased use of chemicals (pesticides, herbicides, etc.)</t>
  </si>
  <si>
    <r>
      <t xml:space="preserve">In the </t>
    </r>
    <r>
      <rPr>
        <b/>
        <sz val="12"/>
        <color rgb="FF000000"/>
        <rFont val="Arial"/>
        <family val="2"/>
        <charset val="163"/>
      </rPr>
      <t>Overview Tab</t>
    </r>
    <r>
      <rPr>
        <sz val="12"/>
        <color rgb="FF000000"/>
        <rFont val="Arial"/>
        <family val="2"/>
        <charset val="163"/>
      </rPr>
      <t>, the steps should be followed:</t>
    </r>
    <r>
      <rPr>
        <b/>
        <u/>
        <sz val="12"/>
        <color rgb="FF000000"/>
        <rFont val="Arial"/>
        <family val="2"/>
        <charset val="163"/>
      </rPr>
      <t xml:space="preserve">
</t>
    </r>
    <r>
      <rPr>
        <u/>
        <sz val="12"/>
        <color rgb="FF000000"/>
        <rFont val="Arial"/>
        <family val="2"/>
        <charset val="163"/>
      </rPr>
      <t>1. Selection of biomass category</t>
    </r>
    <r>
      <rPr>
        <sz val="12"/>
        <color rgb="FF000000"/>
        <rFont val="Arial"/>
        <family val="2"/>
        <charset val="163"/>
      </rPr>
      <t xml:space="preserve">: From the drop-down lists provided in the tool, the user selects the biomass source category and type before responding to other details (e.g. type of treatment processes and biomass feedstocks, etc.) about the biomass option selected. 
</t>
    </r>
    <r>
      <rPr>
        <sz val="12"/>
        <color rgb="FF000000"/>
        <rFont val="Wingdings 2"/>
        <family val="1"/>
        <charset val="2"/>
      </rPr>
      <t>¾</t>
    </r>
    <r>
      <rPr>
        <sz val="12"/>
        <color rgb="FF000000"/>
        <rFont val="Arial"/>
        <family val="2"/>
        <charset val="163"/>
      </rPr>
      <t xml:space="preserve">Biomass Option 1, please fill in cell </t>
    </r>
    <r>
      <rPr>
        <b/>
        <sz val="12"/>
        <color rgb="FF000000"/>
        <rFont val="Arial"/>
        <family val="2"/>
        <charset val="163"/>
      </rPr>
      <t xml:space="preserve">D13 - D17
</t>
    </r>
    <r>
      <rPr>
        <b/>
        <sz val="12"/>
        <color rgb="FF000000"/>
        <rFont val="Wingdings 2"/>
        <family val="1"/>
        <charset val="2"/>
      </rPr>
      <t>¾</t>
    </r>
    <r>
      <rPr>
        <b/>
        <sz val="12"/>
        <color rgb="FF000000"/>
        <rFont val="Arial"/>
        <family val="2"/>
        <charset val="163"/>
      </rPr>
      <t xml:space="preserve"> </t>
    </r>
    <r>
      <rPr>
        <sz val="12"/>
        <color rgb="FF000000"/>
        <rFont val="Arial"/>
        <family val="2"/>
        <charset val="163"/>
      </rPr>
      <t>Biomass Option 2, please fill in cell</t>
    </r>
    <r>
      <rPr>
        <b/>
        <sz val="12"/>
        <color rgb="FF000000"/>
        <rFont val="Arial"/>
        <family val="2"/>
        <charset val="163"/>
      </rPr>
      <t xml:space="preserve"> E13 - E17</t>
    </r>
    <r>
      <rPr>
        <sz val="12"/>
        <color rgb="FF000000"/>
        <rFont val="Arial"/>
        <family val="2"/>
        <charset val="163"/>
      </rPr>
      <t xml:space="preserve">
</t>
    </r>
    <r>
      <rPr>
        <u/>
        <sz val="12"/>
        <color rgb="FF000000"/>
        <rFont val="Arial"/>
        <family val="2"/>
        <charset val="163"/>
      </rPr>
      <t>2. Biomass Origin and Supplier Information</t>
    </r>
    <r>
      <rPr>
        <sz val="12"/>
        <color rgb="FF000000"/>
        <rFont val="Arial"/>
        <family val="2"/>
        <charset val="163"/>
      </rPr>
      <t xml:space="preserve">: In using cells D19 - D21 for biomass option 1, and cells E19 - E21 for biomass option 2, the user is required to answer about its understanding of the biomass origin (country of production) and whether a supplier has already been identified for the biomass type selected in the initial screening. The response will support the user to choose the appropriate level of assessment to be used (Pre-screening Assessment or Basic Assessment or Detailed Assessment).
</t>
    </r>
    <r>
      <rPr>
        <u/>
        <sz val="12"/>
        <color rgb="FF000000"/>
        <rFont val="Arial"/>
        <family val="2"/>
        <charset val="163"/>
      </rPr>
      <t>3. Key Principles before using biomass</t>
    </r>
    <r>
      <rPr>
        <sz val="12"/>
        <color rgb="FF000000"/>
        <rFont val="Arial"/>
        <family val="2"/>
        <charset val="163"/>
      </rPr>
      <t xml:space="preserve">: Before proceeding to the assessment, a set of questions related to key principles (legality &amp; compliance, responsible consumption &amp; production, cascading use, energy efficiency &amp; clean energy solutions and waste management) for sustainable use of biomass and readiness of the company in terms of techno-economic aspects, to gain </t>
    </r>
    <r>
      <rPr>
        <sz val="12"/>
        <color rgb="FF000000"/>
        <rFont val="Arial"/>
        <family val="2"/>
      </rPr>
      <t>u</t>
    </r>
    <r>
      <rPr>
        <sz val="12"/>
        <rFont val="Arial"/>
        <family val="2"/>
      </rPr>
      <t xml:space="preserve">nderstanding about the rationale and maturity of the choice of using biomass at site for energy use before proceeding with the selected biomass source. 
</t>
    </r>
    <r>
      <rPr>
        <u/>
        <sz val="12"/>
        <rFont val="Arial"/>
        <family val="2"/>
      </rPr>
      <t xml:space="preserve">4. Sustainability Driver Applicability Matrix: </t>
    </r>
    <r>
      <rPr>
        <sz val="12"/>
        <rFont val="Arial"/>
        <family val="2"/>
      </rPr>
      <t xml:space="preserve">Once the user selects biomass category in previous step, the preliminary potential sustainability risks for the selected biomass category will be shown in the Sustainability Driver Applicability Matrix. This will support user to have an initial understanding of potential risks before going into an actual assessment.  </t>
    </r>
  </si>
  <si>
    <t>Open field burning of agricultural waste and wildfires</t>
  </si>
  <si>
    <t>Air contaminants emissions during production processes</t>
  </si>
  <si>
    <t>Air contaminants emissions from biomass combustion</t>
  </si>
  <si>
    <t xml:space="preserve">Biomass production and factory have clear plans for hazardous water, sludges and waste management (i.e. digestate from biogas plant) </t>
  </si>
  <si>
    <t>Energy efficiency  or clean energies (renewable, electrification of needs) measures are applied during production process</t>
  </si>
  <si>
    <t>Select biomass that is certified addressing risks of deforestation and other types of natural habitats damages (e.g., RSB, RSPO, FSC or equivalent).</t>
  </si>
  <si>
    <t>Exclude areas that are protected and/or considered of significant value for biodiversity from conversion.</t>
  </si>
  <si>
    <t>Biomass is produced from agroecology practices that provides conditions for biodiversity development and does not require pesticides and herbicides</t>
  </si>
  <si>
    <t>Select biomass sources with reduced water consumption, especially in region with a risk of usages conflicts (no irrigation or processed industrial water)</t>
  </si>
  <si>
    <t>Select biomass producer that has taken measure to reduce water usage or that is incorporated into a watershed management plan for a balanced share of water usage</t>
  </si>
  <si>
    <t xml:space="preserve">Biomass production follows measures/recommendations as per Clean Air act policies related to industrial air emissions </t>
  </si>
  <si>
    <t>Biomass producers applies smoke and gas effluents monitoring control and treatment measures from biomass conversion processes (e.g., combustion, pyrolysis)</t>
  </si>
  <si>
    <t xml:space="preserve">Audits on suppliers and biomass sources are performed to ensure that communities have not been affected or been compensated by the development of the biomass supply chain </t>
  </si>
  <si>
    <t>An Environmental and Social Impact screening and/or assessment (such as ESIA) related to the production of biomass has been performed and approved by authorities</t>
  </si>
  <si>
    <t xml:space="preserve">The biomass producer can provide QHSE management plan and/or certificates (i.e., ISO) </t>
  </si>
  <si>
    <t xml:space="preserve">Implement at factory level and prioritize/encourage suppliers implementing appropriate Occupational, Health and Safety policies and protective equipment (when required). </t>
  </si>
  <si>
    <t>Factory is involved in awareness raising related to human rights, child labour/ forced labour</t>
  </si>
  <si>
    <t>Select/ encourage suppliers implementing measures to prevent human rights, child labour or forced labour if such risks have been identified in the sourcing region and the supplier has not implemented adequate mitigation controls.</t>
  </si>
  <si>
    <t xml:space="preserve">Prioritize biomass suppliers that have human rights, anti-child labour and forced labour policy and management systems in-place.
</t>
  </si>
  <si>
    <t>Select biomass that is certified addressing risks of Land-Use change and of natural habitats damages (e.g., RSB, RSPO, FSC or equivalent).</t>
  </si>
  <si>
    <t>Region of production has implemented measures or policies to reduce the use of chemicals in agriculture</t>
  </si>
  <si>
    <t>▪Biomass is produced locally and/or within 100km from utilization
▪No drying is required or it occurs before medium/long term storage
▪Energy efficiency  or clean energies (renewable, electrification of needs) measures are applied during production process</t>
  </si>
  <si>
    <t>▪Implement appropriate Energy Management System (such as ISO 50001).
▪Apply Energy efficiency best practices in energy systems of the factory to reduce the energy demand</t>
  </si>
  <si>
    <t>▪Biomass is produced on land that was previously already artificialized for human activities by 31st December 2020
▪ Select biomass that is certified addressing risks of deforestation and other types of natural habitats damages (e.g., RSB, RSPO, FSC or equivalent).
▪ Select suppliers that have traceability policies and can share information about the source of their biomass</t>
  </si>
  <si>
    <t xml:space="preserve">▪ Exclude areas that are protected and/or considered of significant value for biodiversity from conversion.
▪Select biomass that is certified addressing risks of Land-Use change and of natural habitats damages (e.g., RSB, RSPO, FSC or equivalent).
</t>
  </si>
  <si>
    <t xml:space="preserve">▪Biomass is produced from agroecology practices that provides conditions for biodiversity development and does not require pesticides and herbicides
▪ Biomass is produced in areas with objectives of reduction of chemicals used in agriculture
</t>
  </si>
  <si>
    <t>▪Select biomass sources with reduced water consumption, especially in region with a risk of usages conflicts (no irrigation or processed industrial water)
▪Select biomass producer that has taken measure to reduce water usage or that is incorporated into a watershed management plan for a balanced share of water usage</t>
  </si>
  <si>
    <t xml:space="preserve">▪Region of production has implemented measures or policies to reduce the use of chemicals in agriculture
▪Biomass production and factory have clear plans for hazardous water, sludges and waste management (i.e. digestate from biogas plant) </t>
  </si>
  <si>
    <t>▪Biomass production follows measures/recommendations as per Clean Air act policies related to industrial air emissions 
▪Biomass producers applies smoke and gas effluents monitoring control and treatment measures from biomass conversion processes (e.g., combustion, pyrolysis)</t>
  </si>
  <si>
    <t>▪Audits on suppliers and biomass sources are performed to ensure that communities have not been affected or been compensated by the development of the biomass supply chain 
▪Select biomass sources from a region that indigenous peoples have not been affected by the development of the biomass supply chain in term of land rights.
▪Supplier can provide land right certificates for biomass transformation factory
▪Supplier can provide land right certificates for agricultural lands</t>
  </si>
  <si>
    <t xml:space="preserve">▪The biomass producer can provide QHSE management plan and/or certificates (i.e., ISO) 
▪Implement at factory level and prioritize/encourage suppliers implementing appropriate Occupational, Health and Safety policies and protective equipment (when required). </t>
  </si>
  <si>
    <t>▪Factory is involved in awareness raising related to human rights, child labour/ forced labour
▪Select/ encourage suppliers implementing measures to prevent human rights, child labour or forced labour if such risks have been identified in the sourcing region and the supplier has not implemented adequate mitigation controls.
▪Prioritize biomass suppliers that have human rights, anti-child labour and forced labour policy and management systems in-place.</t>
  </si>
  <si>
    <t xml:space="preserve">▪Biomass is produced from non-edible crops
▪Select biomass that is produced on land that cannot be used for agriculture
</t>
  </si>
  <si>
    <t>▪ Exclude areas that are protected and/or considered of significant value for biodiversity from conversion.
▪Select biomass that is certified addressing risks of Land-Use change and of natural habitats damages (e.g., RSB, RSPO, FSC or equivalent).</t>
  </si>
  <si>
    <t>▪Biomass is produced from agroecology practices that provides conditions for biodiversity development and does not require pesticides and herbicides
▪ Biomass is produced in areas with objectives of reduction of chemicals used in agriculture</t>
  </si>
  <si>
    <t>▪Biomass is produced from non-edible crops
▪Select biomass that is produced on land that cannot be used for agriculture</t>
  </si>
  <si>
    <t xml:space="preserve">Factory is involved in awareness raising related to human rights, child labour/ forced labour </t>
  </si>
  <si>
    <t>Audits on suppliers are performed to ensure biomass supplier align with national laws of legal minimum worker's wage and working conditions</t>
  </si>
  <si>
    <t>Audits on suppliers are performed to ensure biomass supplier aligns with national regulations related legal minimum worker's wage and working conditions</t>
  </si>
  <si>
    <t>Factory can be directly supplied by the biomass supplier (limiting the number of brokers and intermediates)</t>
  </si>
  <si>
    <t>Select biomass supplier/biomass producers that contribute to the social and economic development of local population, indigenous peoples and community.</t>
  </si>
  <si>
    <t xml:space="preserve">Select suppliers for which biomass production is engaged into phasing out from organic waste open-air burning </t>
  </si>
  <si>
    <t xml:space="preserve">Biomass production takes measure to reduce the impact or occurrence from wildfires </t>
  </si>
  <si>
    <t>Is the biomass produced from agricultural land and/or crops generally irrigated from man-made infrastructures?</t>
  </si>
  <si>
    <t>Please choose one answer that describes the best the situation:
A. Biomass is from crops using chemicals and from a country having &gt;1kg of pesticide per ha of cropland
B. Biomass is from crops using chemicals and from a country having &lt;1kg of pesticide per ha of cropland
C. Waste residues from agricultural/sylviculture processes using chemicals
D. Biomass production has not required use of chemicals or is waste from industries and MSW
E. Unknown</t>
  </si>
  <si>
    <t>Risk Level</t>
  </si>
  <si>
    <r>
      <rPr>
        <b/>
        <sz val="12"/>
        <color theme="1"/>
        <rFont val="Arial"/>
        <family val="2"/>
      </rPr>
      <t>Note</t>
    </r>
    <r>
      <rPr>
        <sz val="12"/>
        <color theme="1"/>
        <rFont val="Arial"/>
        <family val="2"/>
      </rPr>
      <t>: The selection of fuel product/unprocessed biomass source is linked to the chosen fuel form/biomass source. When you change a selection in fuel form/biomass source without deleting the previous selection in the fuel product/unprocessed biomass source, cells will turn red to notify that the selections are not matched. If cells turn red, please choose the fuel product/unprocessed biomass source again in the drop-down list.</t>
    </r>
  </si>
  <si>
    <r>
      <rPr>
        <b/>
        <sz val="12"/>
        <color theme="1"/>
        <rFont val="Arial"/>
        <family val="2"/>
      </rPr>
      <t>Note</t>
    </r>
    <r>
      <rPr>
        <sz val="12"/>
        <color theme="1"/>
        <rFont val="Arial"/>
        <family val="2"/>
      </rPr>
      <t>: For each question, top answer cell is for option 1, and below is for option 2</t>
    </r>
  </si>
  <si>
    <r>
      <t xml:space="preserve">It is important to understand the biomass/biofuel physical, technical and economic characteristics in order to select the appropriate biomass. This may include, but not limited to knowing the origin of biomass, biomass procurement/replacement costs, physical characteristics, etc. </t>
    </r>
    <r>
      <rPr>
        <b/>
        <sz val="12"/>
        <color rgb="FF000000"/>
        <rFont val="Arial"/>
        <family val="2"/>
      </rPr>
      <t>See also the Annex 1- Biomass Description and Categorization in the Guideline.</t>
    </r>
  </si>
  <si>
    <r>
      <t xml:space="preserve">It is important to understand the consistent availability of biomass throughout the year. This may include understanding the seasonality, harvesting and collection times, demand &amp; supply months, etc. Biomass if sourced directly from the producer, is often available only in a short time window. User should consider purchasing the biomass from selected suppliers to ensure consistent biomass availability. 
In order to assess the resource availability, one should consider assessing the availability of biomass resources locally and the quantity of biomass. Information can be collected by interviewing with forest manager (for forestry biomass), farmers (for agricultural biomass), or plant manager from wastewater treatment plants (for municipal waste).
</t>
    </r>
    <r>
      <rPr>
        <b/>
        <sz val="12"/>
        <color rgb="FF000000"/>
        <rFont val="Arial"/>
        <family val="2"/>
      </rPr>
      <t>a)</t>
    </r>
    <r>
      <rPr>
        <sz val="12"/>
        <color rgb="FF000000"/>
        <rFont val="Arial"/>
        <family val="2"/>
      </rPr>
      <t xml:space="preserve"> </t>
    </r>
    <r>
      <rPr>
        <b/>
        <sz val="12"/>
        <color rgb="FF000000"/>
        <rFont val="Arial"/>
        <family val="2"/>
      </rPr>
      <t xml:space="preserve">Prioritize biomass type with consistent supply throughout the year
b) Opt for producers / suppliers closer to the factory/facility </t>
    </r>
  </si>
  <si>
    <t>Does the user know the origin/country of the biomass production?</t>
  </si>
  <si>
    <t>Does the biomass/biofuel producer or supplier has a Human Rights Policy/no Child &amp; Forced Labour Policy?</t>
  </si>
  <si>
    <t>DETAILED ASSESSMENT RESULTS</t>
  </si>
  <si>
    <t>Given biomass option utilization is considered acceptable in regards to a given evaluation indicator or sustainability driver.</t>
  </si>
  <si>
    <t>Given biomass option utilization is considered acceptable in regards to a given evaluation indicator or sustainability driver in case of identification and application of Mitigation measures.</t>
  </si>
  <si>
    <t>Given biomass option utilization is considered unacceptable in regards to a given evaluation indicator or sustainability driver. In other case, a more detailed examination biomass supplier should be conducted and provided. Mitigation measures should be implemented before considering use of the biomass.</t>
  </si>
  <si>
    <t>The Biomass Sustainability Risk Assessment Tool ('RAT' or 'the tool') is designed to help identify and mitigate sustainability risks associated with sourcing biomass for energy use. It complements the Sustainable Biomass Guidelines and serves as a practical tool for each of the main assessment steps as explained in the Guidelines.  
The tool is built on a risk-based approach, whereby answering specific questions enables a biomass user to evaluate the risks that may impact the sustainability of the biomass. The tool is designed to:
1. examine biomass sustainability against five main drivers and specific indicators, which are categorized as environmental and social
2. evaluate the risk levels based on the potential severity of impact, denoted by colors- green (low risk), yellow (medium risk) and red (high risk)</t>
  </si>
  <si>
    <t>BIOMASS SUSTAINABILITY RISK ASSESSMENT TOOL</t>
  </si>
  <si>
    <r>
      <t xml:space="preserve">The tool is presented into 2 sections: 
</t>
    </r>
    <r>
      <rPr>
        <b/>
        <sz val="12"/>
        <color rgb="FF000000"/>
        <rFont val="Arial"/>
        <family val="2"/>
        <charset val="163"/>
      </rPr>
      <t xml:space="preserve">Section 1 - Overview and Key Principles </t>
    </r>
    <r>
      <rPr>
        <sz val="12"/>
        <color rgb="FF000000"/>
        <rFont val="Arial"/>
        <family val="2"/>
        <charset val="163"/>
      </rPr>
      <t xml:space="preserve">helps identify the assessment perimeter, define biomass types/categories, review key principles to be considered before using biomass and potential sustainability risks per each biomass type/category.  
</t>
    </r>
    <r>
      <rPr>
        <b/>
        <sz val="12"/>
        <color rgb="FF000000"/>
        <rFont val="Arial"/>
        <family val="2"/>
        <charset val="163"/>
      </rPr>
      <t>Section 2 - Biomass Sustainability Risk Assessment</t>
    </r>
    <r>
      <rPr>
        <sz val="12"/>
        <color rgb="FF000000"/>
        <rFont val="Arial"/>
        <family val="2"/>
        <charset val="163"/>
      </rPr>
      <t xml:space="preserve"> is built based on a series of questions to help a user determine the possibility of environment and social risk occurrence per driver and evaluation indicator. 
For this step, the tool is broken down into 3 levels of the assessment depending on the level of development and knowledge on the biomass type, its origin and details of the supply-chain: 
- Level 1 - Pre-screening Assessment (orange tab), in the case a biomass option has been identified but the biomass origin is unknown and no biomass supplier is identified at this stage or ;
- Level 2 - Basic Assessment (blue tabs), in the case a biomass type (on which to conduct the assessment) is identified as well as the probable geographies of its production are known or ;
- Level 3 - Detailed Assement (green tabs), in the case the assessor has selected a biomass option or is already using biomass in its production and has access to information related to biomass supply-chain and more particularly about the practices of the current or identified biomass supplier.  
While for the pre-screening - Level 1 assessment, the results of the Risk assessment will be provided directly based on the biomass type selection; for the the Basic and Detailed assessment, the assessor has the possibility to refine the assessment based on available information through a series of questions. Questions are grouped into different environmental and social indicators, each of them having an associated risk rating indicator. Each question, depending on the evaluation indicator, can be answered on a Yes/No/ Unknown response basis or as multiple response choices. For each question, the tool provides "Guidance" (as can be seen in Column R) to support the assessor in providing the most adequate answer. 
The tabs for each Level of Assessment - namely Pre-Screening, Basic Assessment Results and Detailed Assessment Results - show a heat map representing the results of the sustainability risks evaluation (Low, Medium or High) for the selected biomass category.</t>
    </r>
  </si>
  <si>
    <t xml:space="preserve">This tool is built to be used by a department, a team or individuals involved in the procurement of biomass as an energy source. Application of this tool does not require specialized sustainability knowledge. The assessment can be completed using the basic guidance provided by the tool. </t>
  </si>
  <si>
    <t>Step 2: Risk Screening &amp; Assessment</t>
  </si>
  <si>
    <r>
      <t xml:space="preserve">Based on the previous answers in Step 1, the user is informed of the appropriate level of assessment (Pre-screening Assessment or Basic Assessment or Detailed Assessment) in cell </t>
    </r>
    <r>
      <rPr>
        <b/>
        <sz val="12"/>
        <color rgb="FF000000"/>
        <rFont val="Arial"/>
        <family val="2"/>
        <charset val="163"/>
      </rPr>
      <t xml:space="preserve">D22 or E22 </t>
    </r>
    <r>
      <rPr>
        <sz val="12"/>
        <color rgb="FF000000"/>
        <rFont val="Arial"/>
        <family val="2"/>
      </rPr>
      <t>and should c</t>
    </r>
    <r>
      <rPr>
        <sz val="12"/>
        <color rgb="FF000000"/>
        <rFont val="Arial"/>
        <family val="2"/>
        <charset val="163"/>
      </rPr>
      <t xml:space="preserve">lick on the corresponding tab per guidance in cell </t>
    </r>
    <r>
      <rPr>
        <b/>
        <sz val="12"/>
        <color rgb="FF000000"/>
        <rFont val="Arial"/>
        <family val="2"/>
        <charset val="163"/>
      </rPr>
      <t>D22</t>
    </r>
    <r>
      <rPr>
        <sz val="12"/>
        <color rgb="FF000000"/>
        <rFont val="Arial"/>
        <family val="2"/>
        <charset val="163"/>
      </rPr>
      <t xml:space="preserve"> or </t>
    </r>
    <r>
      <rPr>
        <b/>
        <sz val="12"/>
        <color rgb="FF000000"/>
        <rFont val="Arial"/>
        <family val="2"/>
        <charset val="163"/>
      </rPr>
      <t>E22</t>
    </r>
    <r>
      <rPr>
        <sz val="12"/>
        <color rgb="FF000000"/>
        <rFont val="Arial"/>
        <family val="2"/>
        <charset val="163"/>
      </rPr>
      <t xml:space="preserve">.
</t>
    </r>
    <r>
      <rPr>
        <b/>
        <sz val="12"/>
        <color rgb="FF000000"/>
        <rFont val="Arial"/>
        <family val="2"/>
        <charset val="163"/>
      </rPr>
      <t xml:space="preserve">Pre-screening Assessment:
</t>
    </r>
    <r>
      <rPr>
        <sz val="12"/>
        <color rgb="FF000000"/>
        <rFont val="Arial"/>
        <family val="2"/>
        <charset val="163"/>
      </rPr>
      <t xml:space="preserve">Based on the biomass type selected, the Pre-screening Tab provides a pre-defined maximum risk level for each evaluation indicator for user's reference. As the Pre-screening assessment does not operate distinction between the location of production and use of the biomass not details of the supply-chain, it is recommended to the user to further refine this assessment by conducting Basic and/or Detailed Assessment when possible.
</t>
    </r>
    <r>
      <rPr>
        <b/>
        <sz val="12"/>
        <color rgb="FF000000"/>
        <rFont val="Arial"/>
        <family val="2"/>
        <charset val="163"/>
      </rPr>
      <t xml:space="preserve">
Basic Assessment or Detailed Assessment: </t>
    </r>
    <r>
      <rPr>
        <sz val="12"/>
        <color rgb="FF000000"/>
        <rFont val="Arial"/>
        <family val="2"/>
        <charset val="163"/>
      </rPr>
      <t xml:space="preserve">
1. Read questions in the "</t>
    </r>
    <r>
      <rPr>
        <b/>
        <sz val="12"/>
        <color rgb="FF000000"/>
        <rFont val="Arial"/>
        <family val="2"/>
      </rPr>
      <t>2 - Bas</t>
    </r>
    <r>
      <rPr>
        <b/>
        <sz val="12"/>
        <color rgb="FF000000"/>
        <rFont val="Arial"/>
        <family val="2"/>
        <charset val="163"/>
      </rPr>
      <t xml:space="preserve">ic Assessment" Tab or " 3 -Detailed Assessment" Tab </t>
    </r>
    <r>
      <rPr>
        <sz val="12"/>
        <color rgb="FF000000"/>
        <rFont val="Arial"/>
        <family val="2"/>
        <charset val="163"/>
      </rPr>
      <t xml:space="preserve">and provides answer to each of them using or not the guidance provided in the column </t>
    </r>
    <r>
      <rPr>
        <b/>
        <sz val="12"/>
        <color rgb="FF000000"/>
        <rFont val="Arial"/>
        <family val="2"/>
        <charset val="163"/>
      </rPr>
      <t>"R</t>
    </r>
    <r>
      <rPr>
        <sz val="12"/>
        <color rgb="FF000000"/>
        <rFont val="Arial"/>
        <family val="2"/>
        <charset val="163"/>
      </rPr>
      <t>". The guidance will provide useful references such as global database or list potential documentation to use for answering the questions. Location-specific questions shall be answered based on the country/region where the biomass has been produced and/or transformed.
2. Select the appropriate answer based on the option provided in the list. It is highly recommended that users provide justifications and/or additional comments in the designated space in the tool in column "</t>
    </r>
    <r>
      <rPr>
        <b/>
        <sz val="12"/>
        <color rgb="FF000000"/>
        <rFont val="Arial"/>
        <family val="2"/>
      </rPr>
      <t>Q</t>
    </r>
    <r>
      <rPr>
        <sz val="12"/>
        <color rgb="FF000000"/>
        <rFont val="Arial"/>
        <family val="2"/>
        <charset val="163"/>
      </rPr>
      <t>". After answering the question, the estimated risk level for each indicator and driver can be seen respectively in columns "</t>
    </r>
    <r>
      <rPr>
        <b/>
        <sz val="12"/>
        <color rgb="FF000000"/>
        <rFont val="Arial"/>
        <family val="2"/>
      </rPr>
      <t>N</t>
    </r>
    <r>
      <rPr>
        <sz val="12"/>
        <color rgb="FF000000"/>
        <rFont val="Arial"/>
        <family val="2"/>
        <charset val="163"/>
      </rPr>
      <t>" and "</t>
    </r>
    <r>
      <rPr>
        <b/>
        <sz val="12"/>
        <color rgb="FF000000"/>
        <rFont val="Arial"/>
        <family val="2"/>
      </rPr>
      <t>O</t>
    </r>
    <r>
      <rPr>
        <sz val="12"/>
        <color rgb="FF000000"/>
        <rFont val="Arial"/>
        <family val="2"/>
        <charset val="163"/>
      </rPr>
      <t>". 
3. After answering all the questions, the user is invited to consult the Tabs "</t>
    </r>
    <r>
      <rPr>
        <b/>
        <sz val="12"/>
        <color rgb="FF000000"/>
        <rFont val="Arial"/>
        <family val="2"/>
      </rPr>
      <t>2 - Basic Assessment Result"</t>
    </r>
    <r>
      <rPr>
        <sz val="12"/>
        <color rgb="FF000000"/>
        <rFont val="Arial"/>
        <family val="2"/>
        <charset val="163"/>
      </rPr>
      <t xml:space="preserve"> or </t>
    </r>
    <r>
      <rPr>
        <b/>
        <sz val="12"/>
        <color rgb="FF000000"/>
        <rFont val="Arial"/>
        <family val="2"/>
      </rPr>
      <t>"3 - Detailed Assessment Result".</t>
    </r>
    <r>
      <rPr>
        <sz val="12"/>
        <color rgb="FF000000"/>
        <rFont val="Arial"/>
        <family val="2"/>
        <charset val="163"/>
      </rPr>
      <t xml:space="preserve"> </t>
    </r>
  </si>
  <si>
    <r>
      <t>1. Risk evaluation (Low, Medium, High) is automatically computed in the "</t>
    </r>
    <r>
      <rPr>
        <b/>
        <sz val="12"/>
        <color theme="1"/>
        <rFont val="Arial"/>
        <family val="2"/>
      </rPr>
      <t>1 - Pre-screening Assessment</t>
    </r>
    <r>
      <rPr>
        <sz val="12"/>
        <color theme="1"/>
        <rFont val="Arial"/>
        <family val="2"/>
        <charset val="163"/>
      </rPr>
      <t>"; "</t>
    </r>
    <r>
      <rPr>
        <b/>
        <sz val="12"/>
        <color theme="1"/>
        <rFont val="Arial"/>
        <family val="2"/>
        <charset val="163"/>
      </rPr>
      <t>2 -</t>
    </r>
    <r>
      <rPr>
        <sz val="12"/>
        <color theme="1"/>
        <rFont val="Arial"/>
        <family val="2"/>
        <charset val="163"/>
      </rPr>
      <t xml:space="preserve"> </t>
    </r>
    <r>
      <rPr>
        <b/>
        <sz val="12"/>
        <color theme="1"/>
        <rFont val="Arial"/>
        <family val="2"/>
        <charset val="163"/>
      </rPr>
      <t xml:space="preserve">Basic Assessment Result" </t>
    </r>
    <r>
      <rPr>
        <sz val="12"/>
        <color theme="1"/>
        <rFont val="Arial"/>
        <family val="2"/>
        <charset val="163"/>
      </rPr>
      <t>or "</t>
    </r>
    <r>
      <rPr>
        <b/>
        <sz val="12"/>
        <color theme="1"/>
        <rFont val="Arial"/>
        <family val="2"/>
        <charset val="163"/>
      </rPr>
      <t>3 -</t>
    </r>
    <r>
      <rPr>
        <sz val="12"/>
        <color theme="1"/>
        <rFont val="Arial"/>
        <family val="2"/>
        <charset val="163"/>
      </rPr>
      <t xml:space="preserve"> </t>
    </r>
    <r>
      <rPr>
        <b/>
        <sz val="12"/>
        <color theme="1"/>
        <rFont val="Arial"/>
        <family val="2"/>
        <charset val="163"/>
      </rPr>
      <t>Detailed Assessment Result" Tab</t>
    </r>
    <r>
      <rPr>
        <sz val="12"/>
        <color theme="1"/>
        <rFont val="Arial"/>
        <family val="2"/>
        <charset val="163"/>
      </rPr>
      <t xml:space="preserve"> in the form of "heat map" for each selected biomass option. The "</t>
    </r>
    <r>
      <rPr>
        <b/>
        <sz val="12"/>
        <color theme="1"/>
        <rFont val="Arial"/>
        <family val="2"/>
      </rPr>
      <t>Decision</t>
    </r>
    <r>
      <rPr>
        <sz val="12"/>
        <color theme="1"/>
        <rFont val="Arial"/>
        <family val="2"/>
        <charset val="163"/>
      </rPr>
      <t>" cell will suggest the users whether the biomass is considered as "Acceptable", "Acceptable with mitigation solutions" or "Unacceptable".
2. Based on the level of risk for indicator, user is recommended to select mitigation options from a list provided in the tool with the objective to reduce the risk levels of given indicator and therefore increase the acceptability of the biomass option.</t>
    </r>
  </si>
  <si>
    <t>Risk Level Interpretation</t>
  </si>
  <si>
    <t xml:space="preserve">Human rights, child labor and slavery </t>
  </si>
  <si>
    <t>Can the biomass supplier provide the best practices certifications for its feedstock (e.g. Forest Stewardship Council (FSC), Sustainable Biomass Program (SBP) or equivalent)?</t>
  </si>
  <si>
    <t xml:space="preserve">Before considering biomass as potential energy , it is important to check if the selected biomass type has alternative competing uses and can be valorized as food or raw material or as soil amendment, and when applicable can be used over multiple lifetimes through product re-use and material recycling. Biomass type should be selected based on the priority of application and use. First priority is given to local utilization of biomass as a food/raw material. </t>
  </si>
  <si>
    <t>Is the biomass selection aligned with the cascading approach aiming at maximizing the resource effectiveness of the biomass before considering using biomass for energy supply?</t>
  </si>
  <si>
    <t>Has the manufacturer considered measures to manage waste products from biomass combustion/ utilization?</t>
  </si>
  <si>
    <t>Biomass production practices such as use of fertilizers, chemicals, effluents discharge etc. may result in soil and water contamination as well as may affect the water infiltration and soil health. These impacts lead to lower production of biomass and or impact on human health. 
Biomass production requires water which is key resource for human, industrial and agricultural use. Overexploitation of water sources may result in decreased water availability, reputational risks as well as legal obligations. The severity of impact of water use on its availability for human and industrial purposes and for ecosystem services varies by country, as each geographical region has its unique characteristic, depending on the availability of fresh water and the number of competing users.</t>
  </si>
  <si>
    <t xml:space="preserve">1. Production of biomass from crops that can be used for alimentation or on land that used to or could be used for food crops may impact the food safety with the risk of lower availability of food products necessary for ensuring good nutrition and/or increased price due to completion between food and energy usages.
2. Increased demand for biofuel feedstock can supplement and diversify farmer's and forester's incomes and increase job opportunities in the region. </t>
  </si>
  <si>
    <t>Production, logistics, utilization of biomass products may generate additional revenues and employment for different types of players and it should be ensured that appropriate portion benefit to local communities being equitably distributed among members with specific attention to vulnerable populations (women, children, minorities, etc.)</t>
  </si>
  <si>
    <t>The extraction and/or production may pose a threat on ecosystems and its biodiversity through habitat loss and degradation due to land type change to agricultural, production forests or artificialized lands and use of chemicals, over-exploitation and unsustainable use of land as well as cultivation of invasive alien species used as feedstocks. A growing demand for agricultural crops for biofuel production contribute risks an increase in deforestation and use of land with high biodiversity value such as key protected area or key biodiversity area. Solid biomass (e.g. wood chip, pellets) from unknown origin could be sourced by illegal logging.</t>
  </si>
  <si>
    <t>Biomass production may require the use of practices or species that contaminates the soil and the water resources. As well as practices or species that will affect the infiltration of water and the quality of soil and its regeneration. However, The impact that water use has on water availability for human and industrial purposes and for ecosystem services varies from country to country, as each geographical region experiences different degrees of water scarcity, depending on the availability of fresh water and the number of competing users.</t>
  </si>
  <si>
    <t>Air pollutant emissions shall minimize through an air management plan, including air mitigation measures, strategies that are employed and rationale of selection</t>
  </si>
  <si>
    <t>Densification</t>
  </si>
  <si>
    <t>Original Biomass Source</t>
  </si>
  <si>
    <t>Coffee husk</t>
  </si>
  <si>
    <t>From UNCCD:
if Score above 90% --&gt; 0 points
if score between 60 to 89% --&gt; 1 points
if score between 30 to 59% --&gt; 2 points
if score below 29% --&gt; 3 points</t>
  </si>
  <si>
    <t>▪Factory is directly supplied by the biomass supplier (limiting the amount of brokers and intermediates)
▪ Biomass producers/suppliers are constituted in agricultural or forestry cooperatives
▪ Select biomass supplier/biomass producers that contribute to the social and economic development of local population, indigenous peoples and community.</t>
  </si>
  <si>
    <t>A. Electricity from a renewable source (e.g. solar photovoltaic system)
B. Electricity from the national grid
C. Gas/oil/coal
D. Unknown</t>
  </si>
  <si>
    <r>
      <rPr>
        <sz val="16"/>
        <color rgb="FF000000"/>
        <rFont val="Arial"/>
        <family val="2"/>
        <charset val="163"/>
      </rPr>
      <t xml:space="preserve">Check emission factors of national grid electricity publicly disclosed in the national government portal. If this data is unavailable, please check database of country level grid electricity factors via website
</t>
    </r>
    <r>
      <rPr>
        <u/>
        <sz val="16"/>
        <color rgb="FF002060"/>
        <rFont val="Arial"/>
        <family val="2"/>
        <charset val="163"/>
      </rPr>
      <t>https://www.carbonfootprint.com/international_electricity_factors.html</t>
    </r>
    <r>
      <rPr>
        <sz val="16"/>
        <color rgb="FF002060"/>
        <rFont val="Arial"/>
        <family val="2"/>
        <charset val="163"/>
      </rPr>
      <t xml:space="preserve">
</t>
    </r>
    <r>
      <rPr>
        <sz val="16"/>
        <color rgb="FF000000"/>
        <rFont val="Arial"/>
        <family val="2"/>
        <charset val="163"/>
      </rPr>
      <t xml:space="preserve">
Please download the excel spreadsheet for your reference.</t>
    </r>
  </si>
  <si>
    <r>
      <rPr>
        <sz val="16"/>
        <color rgb="FF000000"/>
        <rFont val="Arial"/>
        <family val="2"/>
        <charset val="163"/>
      </rPr>
      <t>▪ Begin by researching the specific region or country from which the biomass originates. 
▪ Look for information on the prevalence of deforestation in that areas including any reports or studies on the project publicly disclosed.
▪Use the Global Forest Watch database</t>
    </r>
    <r>
      <rPr>
        <u/>
        <sz val="16"/>
        <color rgb="FF002060"/>
        <rFont val="Arial"/>
        <family val="2"/>
        <charset val="163"/>
      </rPr>
      <t>. www.globalforestwatch.org</t>
    </r>
    <r>
      <rPr>
        <sz val="16"/>
        <color rgb="FF4472C4"/>
        <rFont val="Arial"/>
        <family val="2"/>
        <charset val="163"/>
      </rPr>
      <t xml:space="preserve">
1. </t>
    </r>
    <r>
      <rPr>
        <sz val="16"/>
        <color rgb="FF000000"/>
        <rFont val="Arial"/>
        <family val="2"/>
        <charset val="163"/>
      </rPr>
      <t xml:space="preserve">Go to the website Global Forest Watch and select map in the menu
2. Select "tree cover loss by dominant driver" in " Forest Change"
3. Click on the relevant country/region and select "Analysis"
4. Compare data of annual tree cover loss by dominant driver with total annual tree cover losses of the country to get the "commodity driven deforestation" rate (in percentage).
</t>
    </r>
    <r>
      <rPr>
        <i/>
        <sz val="16"/>
        <color rgb="FF000000"/>
        <rFont val="Arial"/>
        <family val="2"/>
        <charset val="163"/>
      </rPr>
      <t>Commodity driven deforestation is defined as large-scale of deforestation primarily linked to commercial agricultural expansion.</t>
    </r>
  </si>
  <si>
    <t>Range question:
If happening in protected natural areas --&gt; 3 points
if in close proximity to protected areas --&gt; 2 points
Rural area Not in proximity with natural (&gt;10km) --&gt; 1 point
In urban area --&gt; 0 point
Combine scores of question 3 &amp; 4, if occur in protected Area -&gt; High Risk directly</t>
  </si>
  <si>
    <t>Is the biomass production generally associated with practices consisting in burning organic waste (such as unused agricultural by-products) and/or not adapted to wildfires (for example in case of monoculture at tree plantations)?</t>
  </si>
  <si>
    <t xml:space="preserve">▪Biomass production follows measures/recommendations as per Clean Air act policies related to agricultural waste burning 
▪Select suppliers for which biomass production is engaged into phasing out from organic waste open-air burning 
▪Biomass production takes measure to reduce the impact or occurrence from wildfires </t>
  </si>
  <si>
    <t xml:space="preserve">▪Review Factory's documents, including:
- Environment Impact Assessment
- Air Pollution Management Plan
- Air Monitoring Report 
- ISO 14001 Audit report </t>
  </si>
  <si>
    <t>Is the region from where you are sourcing biomass inhabited by ethnic minorities/and or indigenous people?</t>
  </si>
  <si>
    <t>▪The biomass producer can justify providing more advantageous conditions than the minimum wages to its workers
▪Audits on suppliers are performed to ensure biomass supplier aligns with national regulations related legal minimum worker's wage and working conditions</t>
  </si>
  <si>
    <r>
      <rPr>
        <sz val="16"/>
        <color rgb="FF000000"/>
        <rFont val="Arial"/>
        <family val="2"/>
        <charset val="163"/>
      </rPr>
      <t xml:space="preserve">Review the IHDI and HDI via the UNDP Human Development Indicators World Map.
1. Go to the UNDP Human Development Indicators World Map
https://hdr.undp.org/data-center/country-insights#/ranks
2. When you access the website, click on the country in which the biomass/or biofuel production is taking place.
3. For most countries, the map will indicate an inequality-adjusted human development index (IHDI) value between 0 and 1. If there is no IHDI data available, look at the Human Development Indicator (HDI) value for the country. 
</t>
    </r>
    <r>
      <rPr>
        <u/>
        <sz val="16"/>
        <color rgb="FF002060"/>
        <rFont val="Arial"/>
        <family val="2"/>
        <charset val="163"/>
      </rPr>
      <t>https://hdr.undp.org/inequality-adjusted-human-development-index#/indicies/IHDI</t>
    </r>
  </si>
  <si>
    <r>
      <rPr>
        <sz val="16"/>
        <color rgb="FF000000"/>
        <rFont val="Arial"/>
        <family val="2"/>
        <charset val="163"/>
      </rPr>
      <t>▪ Begin by researching the specific region or country from which the biomass originates. 
▪ Look for information on the prevalence of deforestation in that areas including any reports or studies on the project publicly disclosed.
▪Use the Global Forest Watch database</t>
    </r>
    <r>
      <rPr>
        <u/>
        <sz val="16"/>
        <color rgb="FF002060"/>
        <rFont val="Arial"/>
        <family val="2"/>
        <charset val="163"/>
      </rPr>
      <t>. www.globalforestwatch.org</t>
    </r>
    <r>
      <rPr>
        <sz val="16"/>
        <color rgb="FF4472C4"/>
        <rFont val="Arial"/>
        <family val="2"/>
        <charset val="163"/>
      </rPr>
      <t xml:space="preserve">
1. </t>
    </r>
    <r>
      <rPr>
        <sz val="16"/>
        <color rgb="FF000000"/>
        <rFont val="Arial"/>
        <family val="2"/>
        <charset val="163"/>
      </rPr>
      <t xml:space="preserve">Go to the website Global Forest Watch and select map in the menu
2. Select "tree cover loss by dominant driver" in " Forest Change"
3. Click on the relevant country/region and select "Analysis"
4. Compare data of annual tree cover loss by dominant driver with  total annual tree cover losses of the country to get the "commodity driven deforestation" rate (in percentage).
</t>
    </r>
    <r>
      <rPr>
        <i/>
        <sz val="16"/>
        <color rgb="FF000000"/>
        <rFont val="Arial"/>
        <family val="2"/>
        <charset val="163"/>
      </rPr>
      <t>Commodity driven deforestation is defined as large-scale of deforestation primarily linked to commercial agricultural expansion.</t>
    </r>
  </si>
  <si>
    <r>
      <t xml:space="preserve">Review the IHDI and HDI via the UNDP Human Development Indicators World Map.
1. Go to the UNDP Human Development Indicators World Map
</t>
    </r>
    <r>
      <rPr>
        <u/>
        <sz val="16"/>
        <color rgb="FF002060"/>
        <rFont val="Arial"/>
        <family val="2"/>
        <charset val="163"/>
      </rPr>
      <t>https://hdr.undp.org/data-center/country-insights#/ranks</t>
    </r>
    <r>
      <rPr>
        <sz val="16"/>
        <color theme="1"/>
        <rFont val="Arial"/>
        <family val="2"/>
        <charset val="163"/>
      </rPr>
      <t xml:space="preserve">
2. When you access the website, click on the country in which the biomass/or biofuel production is taking place.
3. For most countries, the map will indicate an inequality-adjusted human development index (IHDI) value between 0 and 1. If there is no IHDI data available, look at the Human Development Indicator (HDI) value for the country. </t>
    </r>
  </si>
  <si>
    <r>
      <t xml:space="preserve">Check emission factors of national grid electricity publicly disclosed in the national government portal. If this data is unavailable, please check database of country level grid electricity factors via website
</t>
    </r>
    <r>
      <rPr>
        <u/>
        <sz val="16"/>
        <color rgb="FF002060"/>
        <rFont val="Arial"/>
        <family val="2"/>
        <charset val="163"/>
      </rPr>
      <t>https://www.carbonfootprint.com/international_electricity_factors.html</t>
    </r>
    <r>
      <rPr>
        <sz val="16"/>
        <color theme="1"/>
        <rFont val="Arial"/>
        <family val="2"/>
        <charset val="163"/>
      </rPr>
      <t xml:space="preserve">
Please download the excel spreadsheet for your reference.</t>
    </r>
  </si>
  <si>
    <r>
      <t xml:space="preserve">▪ Begin by researching the specific region or country from which the biomass originates. 
▪ Look for information on the prevalence of deforestation in that areas including any reports or studies on the project publicly disclosed.
▪Use the Global Forest Watch database. </t>
    </r>
    <r>
      <rPr>
        <u/>
        <sz val="16"/>
        <color rgb="FF003362"/>
        <rFont val="Arial"/>
        <family val="2"/>
        <charset val="163"/>
      </rPr>
      <t>www.globalforestwatch.org</t>
    </r>
    <r>
      <rPr>
        <sz val="16"/>
        <color theme="4"/>
        <rFont val="Arial"/>
        <family val="2"/>
        <charset val="163"/>
      </rPr>
      <t xml:space="preserve">
1. </t>
    </r>
    <r>
      <rPr>
        <sz val="16"/>
        <rFont val="Arial"/>
        <family val="2"/>
        <charset val="163"/>
      </rPr>
      <t>Go to the website</t>
    </r>
    <r>
      <rPr>
        <sz val="16"/>
        <color theme="1"/>
        <rFont val="Arial"/>
        <family val="2"/>
        <charset val="163"/>
      </rPr>
      <t xml:space="preserve"> Global Forest Watch and select map in the menu
2. Select" tree cover loss by dominant driver" in " Forest Change"
3. Click on the relevant country/region and select "Analysis"
4. Compare data of annual tree cover loss by dominant driver with  total annual tree cover losses of the country to get the "commodity driven deforestation" rate (in percentage)
</t>
    </r>
    <r>
      <rPr>
        <i/>
        <sz val="16"/>
        <rFont val="Arial"/>
        <family val="2"/>
        <charset val="163"/>
      </rPr>
      <t xml:space="preserve">Commodity driven deforestation is defined as large-scale of deforestation primarily linked to commercial agricultural expansion
</t>
    </r>
    <r>
      <rPr>
        <sz val="16"/>
        <rFont val="Arial"/>
        <family val="2"/>
        <charset val="163"/>
      </rPr>
      <t xml:space="preserve">
▪Request supplier to provide documentation or proof of sustainable sourcing practices. </t>
    </r>
  </si>
  <si>
    <t>Does the biomass/biofuel producer or supplier implement control measures and procedures to manage waste - hazardous waste and contaminated water (distillation, esterification, pyrolysis, methanation, methanization)?</t>
  </si>
  <si>
    <t>Y/N question but scoring different:
- if Y with no particular treatment process or waste storage other than raw material - 0 points
- - if N with no particular treatment process or waste storage other than raw material - 1 points
- if Y but referring to conversion processes such as methanization, distillation, esterification --&gt; 2 points
- if N but referring to conversion processes such as methanization, distillation, esterification --&gt; 3 points</t>
  </si>
  <si>
    <t>Does the biomass/biofuel producer or supplier implement control measures of pollutant emission from the production process (distillation, esterification, pyrolysis, methanation, methanization)?</t>
  </si>
  <si>
    <t>▪Review biomass supplier's documents, including:
- Environment Impact Assessment
- Air Pollution Management Plan
- Air Monitoring Report 
- ISO 14001 Audit report 
▪Site check at Biomass/ Biofuel producer if feasible</t>
  </si>
  <si>
    <t>Y/N question but scoring different:
- if Y using biogas --&gt; 0 point
- if Y using liquid biofuels, or solid biomass --&gt; 1 point
- if N using biogas or biofuels --&gt; 2 points
- if N using  solid biomass --&gt; 3 points</t>
  </si>
  <si>
    <t xml:space="preserve">▪Review Factory's documents, including:
- Environment Impact Assessment
- Air Pollution Management Plan
- Air Monitoring Report 
- ISO 14001 Audit report 
</t>
  </si>
  <si>
    <t>Check country/region governmental portal on regulation on labour policy</t>
  </si>
  <si>
    <t>Does the biomass/biofuel producer or supplier have appropriate health and safety safeguards for its employees and workers safety management training to its employees and workers?</t>
  </si>
  <si>
    <t>Y/N question/Not applicable --&gt; Y (1point, Unknown 2 point, N --&gt; 3 point)</t>
  </si>
  <si>
    <r>
      <rPr>
        <sz val="16"/>
        <color rgb="FF000000"/>
        <rFont val="Arial"/>
        <family val="2"/>
        <charset val="163"/>
      </rPr>
      <t xml:space="preserve">Review Biomass Supplier's Document Policy, Standards, and/or Statement related to:
- Labor Practices
- Quality, Health, Safety, Environment
- Human Right Policy. Child &amp; Forced Labour Policy
- Diversity &amp; Inclusion (Non-discrimination) Policy
Check media source such as : </t>
    </r>
    <r>
      <rPr>
        <u/>
        <sz val="16"/>
        <color rgb="FF003362"/>
        <rFont val="Arial"/>
        <family val="2"/>
        <charset val="163"/>
      </rPr>
      <t xml:space="preserve">https://ourworldindata.org/child-labor
</t>
    </r>
    <r>
      <rPr>
        <sz val="16"/>
        <color rgb="FF000000"/>
        <rFont val="Arial"/>
        <family val="2"/>
        <charset val="163"/>
      </rPr>
      <t>Or use Global Risk Assessment Tool (</t>
    </r>
    <r>
      <rPr>
        <u/>
        <sz val="16"/>
        <color rgb="FF003362"/>
        <rFont val="Arial"/>
        <family val="2"/>
        <charset val="163"/>
      </rPr>
      <t>https://gst-prod.gras-system.org/)</t>
    </r>
    <r>
      <rPr>
        <sz val="16"/>
        <color theme="1"/>
        <rFont val="Arial"/>
        <family val="2"/>
        <charset val="163"/>
      </rPr>
      <t xml:space="preserve">
Note: % is the share of children (7-14 years old) in employment (as defined in terms of involvement in economic activities for at least one hour a week) per country.</t>
    </r>
  </si>
  <si>
    <t>Y/N question/Not applicable --&gt; Y (3point,- trigger High risk  Unknown 2 point, N --&gt; 1point)</t>
  </si>
  <si>
    <t>Please choose one answer that describes the situation:
A. Global companies
B. Medium companies
C. Small SMEs/ cooperatives
D. Forestry community
E. Unknown</t>
  </si>
  <si>
    <r>
      <t xml:space="preserve">This step is used to register the RAT user (assessor) information (company, name of user in charge of assessment, date of assessment, location) for documentation control purposes. Please fill in cell </t>
    </r>
    <r>
      <rPr>
        <b/>
        <sz val="12"/>
        <color theme="1"/>
        <rFont val="Arial"/>
        <family val="2"/>
        <charset val="163"/>
      </rPr>
      <t>D5 - D9</t>
    </r>
    <r>
      <rPr>
        <sz val="12"/>
        <color theme="1"/>
        <rFont val="Arial"/>
        <family val="2"/>
        <charset val="163"/>
      </rPr>
      <t xml:space="preserve"> in "</t>
    </r>
    <r>
      <rPr>
        <b/>
        <sz val="12"/>
        <color theme="1"/>
        <rFont val="Arial"/>
        <family val="2"/>
        <charset val="163"/>
      </rPr>
      <t>Overview" Tab</t>
    </r>
    <r>
      <rPr>
        <sz val="12"/>
        <color theme="1"/>
        <rFont val="Arial"/>
        <family val="2"/>
        <charset val="163"/>
      </rPr>
      <t>.</t>
    </r>
  </si>
  <si>
    <t>5</t>
  </si>
  <si>
    <r>
      <t xml:space="preserve">Contact an expert or boiler energy service company to obtain information on space and conditions that are required for fuel storage. Estimate the quantity of biomass required based on the boiler power, boiler type and annual heat and electricity demand. Based on this information, forecast the biomass fuel requirement.
</t>
    </r>
    <r>
      <rPr>
        <b/>
        <sz val="12"/>
        <color rgb="FF000000"/>
        <rFont val="Arial"/>
        <family val="2"/>
      </rPr>
      <t xml:space="preserve">- Install infrastructure to support reception and storage of biomass. Installed capacity should be at least 15-20% higher than the forecasted biomass requirement. </t>
    </r>
  </si>
  <si>
    <r>
      <t xml:space="preserve">1. Seek this information from the third-party such as boiler company, boiler provider. 
2. Conduct a feasibility of replacing the existing boiler with a boiler which is compatible with the selected biomass type.
</t>
    </r>
    <r>
      <rPr>
        <b/>
        <sz val="12"/>
        <color rgb="FF000000"/>
        <rFont val="Arial"/>
        <family val="2"/>
      </rPr>
      <t xml:space="preserve">- Retrofit existing boiler technology / install new technology to support biomass adoption. </t>
    </r>
  </si>
  <si>
    <t>Review the IHDI and HDI via the UNDP Human Development Indicators World Map.
1. Go to the UNDP Human Development Indicators World Map
https://hdr.undp.org/data-center/country-insights#/ranks
2. When you access the website, click on the country in which the biomass/or biofuel production is taking place.
3. For most countries, the map will indicate an inequality-adjusted human development index (IHDI) value between 0 and 1. If there is no IHDI data available, look at the Human Development Indicator (HDI) value for the country. 
https://hdr.undp.org/inequality-adjusted-human-development-index#/indicies/IHDI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</si>
</sst>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8" x14ac:knownFonts="1">
    <font>
      <sz val="11"/>
      <color theme="1"/>
      <name val="Calibri"/>
      <family val="2"/>
      <scheme val="minor"/>
    </font>
    <font>
      <sz val="11"/>
      <color theme="1"/>
      <name val="Arial"/>
      <family val="2"/>
      <charset val="163"/>
    </font>
    <font>
      <sz val="10"/>
      <color theme="1"/>
      <name val="Arial"/>
      <family val="2"/>
      <charset val="163"/>
    </font>
    <font>
      <sz val="10"/>
      <color theme="0"/>
      <name val="Arial"/>
      <family val="2"/>
      <charset val="163"/>
    </font>
    <font>
      <sz val="10"/>
      <color theme="1"/>
      <name val="Arial"/>
      <family val="2"/>
      <charset val="163"/>
    </font>
    <font>
      <u/>
      <sz val="11"/>
      <color theme="10"/>
      <name val="Calibri"/>
      <family val="2"/>
      <scheme val="minor"/>
    </font>
    <font>
      <b/>
      <sz val="11"/>
      <color theme="0"/>
      <name val="Calibri"/>
      <family val="2"/>
      <scheme val="minor"/>
    </font>
    <font>
      <sz val="11"/>
      <color theme="0"/>
      <name val="Calibri"/>
      <family val="2"/>
      <scheme val="minor"/>
    </font>
    <font>
      <b/>
      <sz val="11"/>
      <color theme="1"/>
      <name val="Calibri"/>
      <family val="2"/>
      <charset val="163"/>
      <scheme val="minor"/>
    </font>
    <font>
      <i/>
      <sz val="11"/>
      <color theme="1"/>
      <name val="Calibri"/>
      <family val="2"/>
      <charset val="163"/>
      <scheme val="minor"/>
    </font>
    <font>
      <u/>
      <sz val="11"/>
      <color theme="10"/>
      <name val="Calibri"/>
      <family val="2"/>
      <charset val="163"/>
      <scheme val="minor"/>
    </font>
    <font>
      <sz val="11"/>
      <color theme="10"/>
      <name val="Calibri"/>
      <family val="2"/>
      <charset val="163"/>
      <scheme val="minor"/>
    </font>
    <font>
      <sz val="11"/>
      <name val="Calibri"/>
      <family val="2"/>
      <charset val="163"/>
      <scheme val="minor"/>
    </font>
    <font>
      <u/>
      <sz val="11"/>
      <color theme="4"/>
      <name val="Calibri"/>
      <family val="2"/>
      <charset val="163"/>
      <scheme val="minor"/>
    </font>
    <font>
      <b/>
      <sz val="10"/>
      <color theme="1"/>
      <name val="Arial"/>
      <family val="2"/>
      <charset val="163"/>
    </font>
    <font>
      <b/>
      <sz val="12"/>
      <color theme="0"/>
      <name val="Arial"/>
      <family val="2"/>
      <charset val="163"/>
    </font>
    <font>
      <b/>
      <sz val="14"/>
      <color theme="0"/>
      <name val="Arial"/>
      <family val="2"/>
      <charset val="163"/>
    </font>
    <font>
      <b/>
      <sz val="16"/>
      <color theme="0"/>
      <name val="Arial"/>
      <family val="2"/>
      <charset val="163"/>
    </font>
    <font>
      <b/>
      <sz val="18"/>
      <color theme="0"/>
      <name val="Arial"/>
      <family val="2"/>
      <charset val="163"/>
    </font>
    <font>
      <b/>
      <sz val="24"/>
      <color theme="0"/>
      <name val="Arial"/>
      <family val="2"/>
      <charset val="163"/>
    </font>
    <font>
      <sz val="12"/>
      <color theme="1"/>
      <name val="Arial"/>
      <family val="2"/>
      <charset val="163"/>
    </font>
    <font>
      <sz val="14"/>
      <color theme="1"/>
      <name val="Arial"/>
      <family val="2"/>
      <charset val="163"/>
    </font>
    <font>
      <b/>
      <sz val="14"/>
      <color theme="1"/>
      <name val="Arial"/>
      <family val="2"/>
      <charset val="163"/>
    </font>
    <font>
      <b/>
      <sz val="16"/>
      <color theme="1"/>
      <name val="Arial"/>
      <family val="2"/>
      <charset val="163"/>
    </font>
    <font>
      <sz val="12"/>
      <name val="Arial"/>
      <family val="2"/>
      <charset val="163"/>
    </font>
    <font>
      <b/>
      <sz val="12"/>
      <color theme="1"/>
      <name val="Arial"/>
      <family val="2"/>
      <charset val="163"/>
    </font>
    <font>
      <b/>
      <sz val="12"/>
      <color rgb="FF000000"/>
      <name val="Arial"/>
      <family val="2"/>
      <charset val="163"/>
    </font>
    <font>
      <sz val="12"/>
      <color rgb="FF000000"/>
      <name val="Arial"/>
      <family val="2"/>
      <charset val="163"/>
    </font>
    <font>
      <sz val="12"/>
      <color theme="4"/>
      <name val="Arial"/>
      <family val="2"/>
      <charset val="163"/>
    </font>
    <font>
      <b/>
      <sz val="16"/>
      <color rgb="FF007D5C"/>
      <name val="Arial"/>
      <family val="2"/>
      <charset val="163"/>
    </font>
    <font>
      <sz val="10"/>
      <color rgb="FFFF0000"/>
      <name val="Arial"/>
      <family val="2"/>
      <charset val="163"/>
    </font>
    <font>
      <sz val="12"/>
      <color rgb="FFFF0000"/>
      <name val="Arial"/>
      <family val="2"/>
      <charset val="163"/>
    </font>
    <font>
      <sz val="14"/>
      <color rgb="FFFF0000"/>
      <name val="Arial"/>
      <family val="2"/>
      <charset val="163"/>
    </font>
    <font>
      <sz val="16"/>
      <color theme="1"/>
      <name val="Arial"/>
      <family val="2"/>
      <charset val="163"/>
    </font>
    <font>
      <u/>
      <sz val="12"/>
      <color theme="1"/>
      <name val="Arial"/>
      <family val="2"/>
      <charset val="163"/>
    </font>
    <font>
      <sz val="12"/>
      <color theme="0"/>
      <name val="Arial"/>
      <family val="2"/>
      <charset val="163"/>
    </font>
    <font>
      <b/>
      <sz val="18"/>
      <color rgb="FF444444"/>
      <name val="Arial"/>
      <family val="2"/>
      <charset val="163"/>
    </font>
    <font>
      <b/>
      <sz val="36"/>
      <color theme="0"/>
      <name val="Arial"/>
      <family val="2"/>
      <charset val="163"/>
    </font>
    <font>
      <b/>
      <sz val="18"/>
      <color theme="1"/>
      <name val="Calibri"/>
      <family val="2"/>
      <charset val="163"/>
      <scheme val="minor"/>
    </font>
    <font>
      <b/>
      <sz val="20"/>
      <color rgb="FF005440"/>
      <name val="Calibri"/>
      <family val="2"/>
      <charset val="163"/>
      <scheme val="minor"/>
    </font>
    <font>
      <b/>
      <i/>
      <sz val="16"/>
      <color theme="1"/>
      <name val="Arial"/>
      <family val="2"/>
      <charset val="163"/>
    </font>
    <font>
      <b/>
      <sz val="20"/>
      <color theme="1"/>
      <name val="Calibri"/>
      <family val="2"/>
      <charset val="163"/>
      <scheme val="minor"/>
    </font>
    <font>
      <sz val="16"/>
      <color theme="0"/>
      <name val="Arial"/>
      <family val="2"/>
      <charset val="163"/>
    </font>
    <font>
      <sz val="10"/>
      <color theme="1"/>
      <name val="Arial"/>
      <family val="2"/>
      <charset val="163"/>
    </font>
    <font>
      <i/>
      <sz val="18"/>
      <color theme="1"/>
      <name val="Arial"/>
      <family val="2"/>
      <charset val="163"/>
    </font>
    <font>
      <b/>
      <sz val="16"/>
      <color rgb="FFFF0000"/>
      <name val="Arial"/>
      <family val="2"/>
      <charset val="163"/>
    </font>
    <font>
      <sz val="10"/>
      <color theme="1"/>
      <name val="Arial"/>
      <family val="2"/>
      <charset val="163"/>
    </font>
    <font>
      <sz val="14"/>
      <color theme="1"/>
      <name val="Arial"/>
      <family val="2"/>
      <charset val="163"/>
    </font>
    <font>
      <b/>
      <sz val="12"/>
      <name val="Arial"/>
      <family val="2"/>
      <charset val="163"/>
    </font>
    <font>
      <sz val="12"/>
      <color theme="1"/>
      <name val="Arial"/>
      <family val="2"/>
      <charset val="163"/>
    </font>
    <font>
      <sz val="12"/>
      <color rgb="FF000000"/>
      <name val="Arial"/>
      <family val="2"/>
      <charset val="163"/>
    </font>
    <font>
      <b/>
      <u/>
      <sz val="12"/>
      <color rgb="FF000000"/>
      <name val="Arial"/>
      <family val="2"/>
      <charset val="163"/>
    </font>
    <font>
      <u/>
      <sz val="12"/>
      <color rgb="FF000000"/>
      <name val="Arial"/>
      <family val="2"/>
      <charset val="163"/>
    </font>
    <font>
      <sz val="12"/>
      <color rgb="FF000000"/>
      <name val="Wingdings 2"/>
      <family val="1"/>
      <charset val="2"/>
    </font>
    <font>
      <b/>
      <sz val="12"/>
      <color rgb="FF000000"/>
      <name val="Wingdings 2"/>
      <family val="1"/>
      <charset val="2"/>
    </font>
    <font>
      <b/>
      <sz val="16"/>
      <color theme="0"/>
      <name val="Arial"/>
      <family val="2"/>
    </font>
    <font>
      <b/>
      <sz val="12"/>
      <color theme="1"/>
      <name val="Arial"/>
      <family val="2"/>
    </font>
    <font>
      <sz val="12"/>
      <color theme="1"/>
      <name val="Arial"/>
      <family val="2"/>
    </font>
    <font>
      <b/>
      <sz val="12"/>
      <color theme="0"/>
      <name val="Arial"/>
      <family val="2"/>
      <charset val="163"/>
    </font>
    <font>
      <b/>
      <sz val="14"/>
      <color theme="0"/>
      <name val="Arial"/>
      <family val="2"/>
      <charset val="163"/>
    </font>
    <font>
      <sz val="12"/>
      <color theme="1"/>
      <name val="Arial"/>
      <family val="2"/>
      <charset val="163"/>
    </font>
    <font>
      <b/>
      <i/>
      <sz val="16"/>
      <color theme="1"/>
      <name val="Arial"/>
      <family val="2"/>
      <charset val="163"/>
    </font>
    <font>
      <b/>
      <sz val="12"/>
      <name val="Arial"/>
      <family val="2"/>
      <charset val="163"/>
    </font>
    <font>
      <sz val="12"/>
      <color theme="0"/>
      <name val="Arial"/>
      <family val="2"/>
      <charset val="163"/>
    </font>
    <font>
      <b/>
      <sz val="24"/>
      <color theme="0"/>
      <name val="Arial"/>
      <family val="2"/>
      <charset val="163"/>
    </font>
    <font>
      <sz val="16"/>
      <color theme="1"/>
      <name val="Calibri"/>
      <family val="2"/>
      <scheme val="minor"/>
    </font>
    <font>
      <sz val="12"/>
      <color rgb="FF000000"/>
      <name val="Arial"/>
      <family val="2"/>
    </font>
    <font>
      <b/>
      <sz val="12"/>
      <color rgb="FF000000"/>
      <name val="Arial"/>
      <family val="2"/>
    </font>
    <font>
      <b/>
      <sz val="36"/>
      <color theme="0"/>
      <name val="Arial"/>
      <family val="2"/>
    </font>
    <font>
      <sz val="11"/>
      <color theme="1"/>
      <name val="Arial"/>
      <family val="2"/>
    </font>
    <font>
      <b/>
      <sz val="14"/>
      <color theme="0"/>
      <name val="Arial"/>
      <family val="2"/>
    </font>
    <font>
      <b/>
      <sz val="12"/>
      <color theme="0"/>
      <name val="Arial"/>
      <family val="2"/>
    </font>
    <font>
      <b/>
      <i/>
      <sz val="12"/>
      <color theme="1"/>
      <name val="Arial"/>
      <family val="2"/>
    </font>
    <font>
      <sz val="16"/>
      <color theme="1"/>
      <name val="Arial"/>
      <family val="2"/>
    </font>
    <font>
      <b/>
      <sz val="16"/>
      <color rgb="FF444444"/>
      <name val="Arial"/>
      <family val="2"/>
      <charset val="163"/>
    </font>
    <font>
      <sz val="16"/>
      <color rgb="FF000000"/>
      <name val="Arial"/>
      <family val="2"/>
      <charset val="163"/>
    </font>
    <font>
      <u/>
      <sz val="16"/>
      <color rgb="FF002060"/>
      <name val="Arial"/>
      <family val="2"/>
      <charset val="163"/>
    </font>
    <font>
      <sz val="16"/>
      <color rgb="FF002060"/>
      <name val="Arial"/>
      <family val="2"/>
      <charset val="163"/>
    </font>
    <font>
      <u/>
      <sz val="16"/>
      <color theme="10"/>
      <name val="Calibri"/>
      <family val="2"/>
      <scheme val="minor"/>
    </font>
    <font>
      <sz val="16"/>
      <name val="Arial"/>
      <family val="2"/>
      <charset val="163"/>
    </font>
    <font>
      <sz val="16"/>
      <color rgb="FFFF0000"/>
      <name val="Arial"/>
      <family val="2"/>
      <charset val="163"/>
    </font>
    <font>
      <sz val="16"/>
      <color rgb="FF4472C4"/>
      <name val="Arial"/>
      <family val="2"/>
      <charset val="163"/>
    </font>
    <font>
      <i/>
      <sz val="16"/>
      <color rgb="FF000000"/>
      <name val="Arial"/>
      <family val="2"/>
      <charset val="163"/>
    </font>
    <font>
      <u/>
      <sz val="16"/>
      <color rgb="FF003362"/>
      <name val="Arial"/>
      <family val="2"/>
      <charset val="163"/>
    </font>
    <font>
      <u/>
      <sz val="16"/>
      <color theme="1"/>
      <name val="Arial"/>
      <family val="2"/>
      <charset val="163"/>
    </font>
    <font>
      <b/>
      <sz val="16"/>
      <color rgb="FF005440"/>
      <name val="Calibri"/>
      <family val="2"/>
      <charset val="163"/>
      <scheme val="minor"/>
    </font>
    <font>
      <b/>
      <sz val="16"/>
      <color theme="1"/>
      <name val="Calibri"/>
      <family val="2"/>
      <charset val="163"/>
      <scheme val="minor"/>
    </font>
    <font>
      <sz val="16"/>
      <color theme="4"/>
      <name val="Arial"/>
      <family val="2"/>
      <charset val="163"/>
    </font>
    <font>
      <i/>
      <sz val="16"/>
      <name val="Arial"/>
      <family val="2"/>
      <charset val="163"/>
    </font>
    <font>
      <sz val="16"/>
      <color rgb="FF003362"/>
      <name val="Arial"/>
      <family val="2"/>
      <charset val="163"/>
    </font>
    <font>
      <b/>
      <sz val="16"/>
      <color rgb="FF000000"/>
      <name val="Arial"/>
      <family val="2"/>
      <charset val="163"/>
    </font>
    <font>
      <b/>
      <sz val="16"/>
      <color rgb="FF007D5C"/>
      <name val="Arial"/>
      <family val="2"/>
    </font>
    <font>
      <b/>
      <i/>
      <sz val="16"/>
      <color theme="1"/>
      <name val="Arial"/>
      <family val="2"/>
    </font>
    <font>
      <sz val="16"/>
      <color theme="0"/>
      <name val="Arial"/>
      <family val="2"/>
    </font>
    <font>
      <b/>
      <sz val="16"/>
      <color theme="1"/>
      <name val="Arial"/>
      <family val="2"/>
    </font>
    <font>
      <sz val="12"/>
      <name val="Arial"/>
      <family val="2"/>
    </font>
    <font>
      <u/>
      <sz val="12"/>
      <name val="Arial"/>
      <family val="2"/>
    </font>
    <font>
      <sz val="16"/>
      <color theme="1"/>
      <name val="Arial"/>
      <family val="2"/>
      <charset val="163"/>
    </font>
    <font>
      <sz val="16"/>
      <name val="Arial"/>
      <family val="2"/>
      <charset val="163"/>
    </font>
    <font>
      <b/>
      <sz val="12"/>
      <color rgb="FF007D5C"/>
      <name val="Arial"/>
      <family val="2"/>
    </font>
    <font>
      <sz val="12"/>
      <color theme="0"/>
      <name val="Arial"/>
      <family val="2"/>
    </font>
    <font>
      <b/>
      <sz val="12"/>
      <color rgb="FF005440"/>
      <name val="Arial"/>
      <family val="2"/>
    </font>
    <font>
      <sz val="12"/>
      <color rgb="FFC00000"/>
      <name val="Arial"/>
      <family val="2"/>
    </font>
    <font>
      <i/>
      <sz val="12"/>
      <color theme="1"/>
      <name val="Arial"/>
      <family val="2"/>
    </font>
    <font>
      <sz val="16"/>
      <name val="Arial"/>
      <family val="2"/>
    </font>
    <font>
      <i/>
      <sz val="16"/>
      <color theme="1"/>
      <name val="Arial"/>
      <family val="2"/>
    </font>
    <font>
      <sz val="10"/>
      <color theme="1"/>
      <name val="Arial"/>
      <family val="2"/>
    </font>
    <font>
      <i/>
      <sz val="16"/>
      <color theme="1"/>
      <name val="Arial"/>
      <family val="2"/>
      <charset val="163"/>
    </font>
  </fonts>
  <fills count="34">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007D5C"/>
        <bgColor indexed="64"/>
      </patternFill>
    </fill>
    <fill>
      <patternFill patternType="solid">
        <fgColor theme="9" tint="0.79998168889431442"/>
        <bgColor indexed="64"/>
      </patternFill>
    </fill>
    <fill>
      <patternFill patternType="solid">
        <fgColor theme="9"/>
        <bgColor theme="9"/>
      </patternFill>
    </fill>
    <fill>
      <patternFill patternType="solid">
        <fgColor theme="5" tint="0.39997558519241921"/>
        <bgColor indexed="64"/>
      </patternFill>
    </fill>
    <fill>
      <patternFill patternType="solid">
        <fgColor theme="1" tint="0.499984740745262"/>
        <bgColor indexed="64"/>
      </patternFill>
    </fill>
    <fill>
      <patternFill patternType="solid">
        <fgColor theme="0"/>
        <bgColor indexed="64"/>
      </patternFill>
    </fill>
    <fill>
      <patternFill patternType="solid">
        <fgColor rgb="FF00B050"/>
        <bgColor indexed="64"/>
      </patternFill>
    </fill>
    <fill>
      <patternFill patternType="solid">
        <fgColor theme="7"/>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00D29B"/>
        <bgColor indexed="64"/>
      </patternFill>
    </fill>
    <fill>
      <patternFill patternType="solid">
        <fgColor rgb="FF83CADD"/>
        <bgColor indexed="64"/>
      </patternFill>
    </fill>
    <fill>
      <patternFill patternType="solid">
        <fgColor rgb="FF70AD47"/>
        <bgColor indexed="64"/>
      </patternFill>
    </fill>
    <fill>
      <patternFill patternType="solid">
        <fgColor rgb="FF00B0F0"/>
        <bgColor indexed="64"/>
      </patternFill>
    </fill>
    <fill>
      <patternFill patternType="solid">
        <fgColor rgb="FFC2D0CA"/>
        <bgColor indexed="64"/>
      </patternFill>
    </fill>
    <fill>
      <patternFill patternType="solid">
        <fgColor rgb="FF005440"/>
        <bgColor indexed="64"/>
      </patternFill>
    </fill>
    <fill>
      <patternFill patternType="solid">
        <fgColor rgb="FF007A5F"/>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83CADD"/>
        <bgColor rgb="FF000000"/>
      </patternFill>
    </fill>
    <fill>
      <patternFill patternType="solid">
        <fgColor rgb="FFFFC000"/>
        <bgColor indexed="64"/>
      </patternFill>
    </fill>
    <fill>
      <patternFill patternType="solid">
        <fgColor theme="5" tint="0.59999389629810485"/>
        <bgColor indexed="64"/>
      </patternFill>
    </fill>
    <fill>
      <patternFill patternType="solid">
        <fgColor theme="3" tint="-0.499984740745262"/>
        <bgColor indexed="64"/>
      </patternFill>
    </fill>
    <fill>
      <patternFill patternType="solid">
        <fgColor theme="4" tint="-0.49998474074526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rgb="FF000000"/>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9"/>
      </left>
      <right style="thin">
        <color theme="9"/>
      </right>
      <top style="thin">
        <color theme="9"/>
      </top>
      <bottom/>
      <diagonal/>
    </border>
    <border>
      <left style="thin">
        <color theme="9"/>
      </left>
      <right style="thin">
        <color theme="9"/>
      </right>
      <top style="thin">
        <color theme="9"/>
      </top>
      <bottom style="thin">
        <color theme="9"/>
      </bottom>
      <diagonal/>
    </border>
    <border>
      <left style="thin">
        <color indexed="64"/>
      </left>
      <right/>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indexed="64"/>
      </right>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rgb="FF000000"/>
      </left>
      <right/>
      <top/>
      <bottom style="thin">
        <color rgb="FF000000"/>
      </bottom>
      <diagonal/>
    </border>
    <border>
      <left style="thin">
        <color rgb="FF000000"/>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rgb="FF000000"/>
      </left>
      <right/>
      <top/>
      <bottom/>
      <diagonal/>
    </border>
    <border>
      <left style="thin">
        <color rgb="FF000000"/>
      </left>
      <right/>
      <top/>
      <bottom style="thin">
        <color indexed="64"/>
      </bottom>
      <diagonal/>
    </border>
    <border>
      <left style="thin">
        <color rgb="FF000000"/>
      </left>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dotted">
        <color indexed="64"/>
      </top>
      <bottom style="dotted">
        <color indexed="64"/>
      </bottom>
      <diagonal/>
    </border>
    <border>
      <left/>
      <right/>
      <top/>
      <bottom style="hair">
        <color indexed="64"/>
      </bottom>
      <diagonal/>
    </border>
    <border>
      <left/>
      <right/>
      <top style="dotted">
        <color indexed="64"/>
      </top>
      <bottom style="dotted">
        <color indexed="64"/>
      </bottom>
      <diagonal/>
    </border>
    <border>
      <left style="dotted">
        <color indexed="64"/>
      </left>
      <right/>
      <top/>
      <bottom/>
      <diagonal/>
    </border>
    <border>
      <left style="thin">
        <color theme="1"/>
      </left>
      <right/>
      <top style="thin">
        <color indexed="64"/>
      </top>
      <bottom style="thin">
        <color indexed="64"/>
      </bottom>
      <diagonal/>
    </border>
    <border>
      <left/>
      <right/>
      <top style="thin">
        <color theme="1"/>
      </top>
      <bottom/>
      <diagonal/>
    </border>
    <border>
      <left/>
      <right/>
      <top/>
      <bottom style="thin">
        <color theme="1"/>
      </bottom>
      <diagonal/>
    </border>
    <border>
      <left style="thin">
        <color indexed="64"/>
      </left>
      <right style="thin">
        <color indexed="64"/>
      </right>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right/>
      <top/>
      <bottom style="thin">
        <color rgb="FF000000"/>
      </bottom>
      <diagonal/>
    </border>
    <border>
      <left style="thin">
        <color indexed="64"/>
      </left>
      <right style="thin">
        <color indexed="64"/>
      </right>
      <top style="thin">
        <color theme="1"/>
      </top>
      <bottom/>
      <diagonal/>
    </border>
    <border>
      <left style="thin">
        <color theme="1"/>
      </left>
      <right/>
      <top style="thin">
        <color indexed="64"/>
      </top>
      <bottom/>
      <diagonal/>
    </border>
    <border>
      <left style="thin">
        <color theme="1"/>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828">
    <xf numFmtId="0" fontId="0" fillId="0" borderId="0" xfId="0"/>
    <xf numFmtId="0" fontId="2" fillId="0" borderId="0" xfId="0" applyFont="1"/>
    <xf numFmtId="0" fontId="4" fillId="0" borderId="0" xfId="0" applyFont="1"/>
    <xf numFmtId="0" fontId="0" fillId="0" borderId="1" xfId="0" applyBorder="1"/>
    <xf numFmtId="0" fontId="0" fillId="0" borderId="1" xfId="0" applyBorder="1" applyAlignment="1">
      <alignment horizontal="center" vertical="center"/>
    </xf>
    <xf numFmtId="0" fontId="0" fillId="0" borderId="0" xfId="0" applyAlignment="1">
      <alignment wrapText="1"/>
    </xf>
    <xf numFmtId="0" fontId="6" fillId="6" borderId="12" xfId="0" applyFont="1" applyFill="1" applyBorder="1"/>
    <xf numFmtId="0" fontId="6" fillId="7" borderId="0" xfId="0" applyFont="1" applyFill="1"/>
    <xf numFmtId="0" fontId="6" fillId="8" borderId="0" xfId="0" applyFont="1" applyFill="1"/>
    <xf numFmtId="0" fontId="6" fillId="8" borderId="13" xfId="0" applyFont="1" applyFill="1" applyBorder="1"/>
    <xf numFmtId="0" fontId="0" fillId="0" borderId="0" xfId="0" applyAlignment="1">
      <alignment horizontal="left" wrapText="1"/>
    </xf>
    <xf numFmtId="0" fontId="1" fillId="9" borderId="0" xfId="0" applyFont="1" applyFill="1"/>
    <xf numFmtId="0" fontId="7" fillId="10" borderId="0" xfId="0" applyFont="1" applyFill="1"/>
    <xf numFmtId="0" fontId="8" fillId="11" borderId="0" xfId="0" applyFont="1" applyFill="1" applyAlignment="1">
      <alignment horizontal="center"/>
    </xf>
    <xf numFmtId="0" fontId="0" fillId="11" borderId="0" xfId="0" applyFill="1"/>
    <xf numFmtId="0" fontId="8" fillId="0" borderId="0" xfId="0" applyFont="1" applyAlignment="1">
      <alignment horizontal="center" vertical="center"/>
    </xf>
    <xf numFmtId="0" fontId="9" fillId="0" borderId="0" xfId="0" applyFont="1" applyAlignment="1">
      <alignment wrapText="1"/>
    </xf>
    <xf numFmtId="0" fontId="8" fillId="11" borderId="0" xfId="0" applyFont="1" applyFill="1" applyAlignment="1">
      <alignment horizontal="center" vertical="center"/>
    </xf>
    <xf numFmtId="0" fontId="10" fillId="0" borderId="0" xfId="1" applyFont="1" applyAlignment="1">
      <alignment wrapText="1"/>
    </xf>
    <xf numFmtId="0" fontId="7" fillId="10" borderId="0" xfId="0" applyFont="1" applyFill="1" applyAlignment="1">
      <alignment wrapText="1"/>
    </xf>
    <xf numFmtId="0" fontId="8" fillId="11" borderId="0" xfId="0" applyFont="1" applyFill="1"/>
    <xf numFmtId="0" fontId="8" fillId="11" borderId="0" xfId="0" applyFont="1" applyFill="1" applyAlignment="1">
      <alignment horizontal="center" vertical="center" wrapText="1"/>
    </xf>
    <xf numFmtId="0" fontId="0" fillId="0" borderId="1" xfId="0" applyBorder="1" applyAlignment="1">
      <alignment wrapText="1"/>
    </xf>
    <xf numFmtId="0" fontId="5" fillId="0" borderId="1" xfId="1" applyBorder="1" applyAlignment="1">
      <alignment wrapText="1"/>
    </xf>
    <xf numFmtId="0" fontId="5" fillId="0" borderId="1" xfId="1" applyBorder="1"/>
    <xf numFmtId="0" fontId="0" fillId="0" borderId="0" xfId="0" applyAlignment="1">
      <alignment horizontal="left"/>
    </xf>
    <xf numFmtId="0" fontId="4" fillId="0" borderId="0" xfId="0" applyFont="1" applyAlignment="1">
      <alignment horizontal="center" vertical="center"/>
    </xf>
    <xf numFmtId="0" fontId="4" fillId="0" borderId="0" xfId="0" applyFont="1" applyAlignment="1">
      <alignment horizontal="center"/>
    </xf>
    <xf numFmtId="0" fontId="14" fillId="0" borderId="0" xfId="0" applyFont="1" applyAlignment="1">
      <alignment horizontal="center" wrapText="1"/>
    </xf>
    <xf numFmtId="0" fontId="0" fillId="0" borderId="0" xfId="0" applyAlignment="1">
      <alignment vertical="center" wrapText="1"/>
    </xf>
    <xf numFmtId="0" fontId="9" fillId="0" borderId="0" xfId="0" applyFont="1" applyAlignment="1">
      <alignment vertical="center" wrapText="1"/>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1" xfId="0" applyFont="1" applyBorder="1" applyAlignment="1">
      <alignment vertical="center" wrapText="1"/>
    </xf>
    <xf numFmtId="0" fontId="24" fillId="0" borderId="1" xfId="0" applyFont="1" applyBorder="1" applyAlignment="1">
      <alignment horizontal="left" vertical="center" wrapText="1"/>
    </xf>
    <xf numFmtId="0" fontId="20" fillId="0" borderId="2" xfId="0" applyFont="1" applyBorder="1" applyAlignment="1">
      <alignment vertical="center" wrapText="1"/>
    </xf>
    <xf numFmtId="0" fontId="20" fillId="0" borderId="7" xfId="0" applyFont="1" applyBorder="1" applyAlignment="1">
      <alignment horizontal="center" vertical="center"/>
    </xf>
    <xf numFmtId="0" fontId="20" fillId="9" borderId="1" xfId="0" applyFont="1" applyFill="1" applyBorder="1" applyAlignment="1">
      <alignment horizontal="left" vertical="center" wrapText="1"/>
    </xf>
    <xf numFmtId="0" fontId="30" fillId="0" borderId="0" xfId="0" applyFont="1" applyAlignment="1">
      <alignment wrapText="1"/>
    </xf>
    <xf numFmtId="0" fontId="32" fillId="9" borderId="0" xfId="0" applyFont="1" applyFill="1" applyAlignment="1">
      <alignment horizontal="center" vertical="center" wrapText="1"/>
    </xf>
    <xf numFmtId="0" fontId="30" fillId="0" borderId="15" xfId="0" applyFont="1" applyBorder="1" applyAlignment="1">
      <alignment wrapText="1"/>
    </xf>
    <xf numFmtId="0" fontId="2" fillId="0" borderId="15" xfId="0" applyFont="1" applyBorder="1" applyAlignment="1">
      <alignment wrapText="1"/>
    </xf>
    <xf numFmtId="0" fontId="2" fillId="0" borderId="1" xfId="0" applyFont="1" applyBorder="1" applyAlignment="1">
      <alignment wrapText="1"/>
    </xf>
    <xf numFmtId="0" fontId="31" fillId="0" borderId="1" xfId="0" applyFont="1" applyBorder="1" applyAlignment="1">
      <alignment horizontal="left" vertical="center" wrapText="1"/>
    </xf>
    <xf numFmtId="0" fontId="2" fillId="0" borderId="15" xfId="0" applyFont="1" applyBorder="1" applyAlignment="1">
      <alignment vertical="center" wrapText="1"/>
    </xf>
    <xf numFmtId="0" fontId="20" fillId="0" borderId="3" xfId="0" applyFont="1" applyBorder="1" applyAlignment="1">
      <alignment vertical="center" wrapText="1"/>
    </xf>
    <xf numFmtId="0" fontId="18" fillId="20" borderId="6" xfId="0" applyFont="1" applyFill="1" applyBorder="1" applyAlignment="1">
      <alignment horizontal="right" vertical="center"/>
    </xf>
    <xf numFmtId="0" fontId="21" fillId="18" borderId="1" xfId="0" applyFont="1" applyFill="1" applyBorder="1" applyAlignment="1">
      <alignment horizontal="center" vertical="center"/>
    </xf>
    <xf numFmtId="0" fontId="21" fillId="18" borderId="1" xfId="0" applyFont="1" applyFill="1" applyBorder="1" applyAlignment="1">
      <alignment horizontal="center" vertical="center" wrapText="1"/>
    </xf>
    <xf numFmtId="0" fontId="20" fillId="0" borderId="14" xfId="0" applyFont="1" applyBorder="1" applyAlignment="1">
      <alignment horizontal="left" vertical="center" wrapText="1"/>
    </xf>
    <xf numFmtId="0" fontId="20" fillId="0" borderId="4" xfId="0" applyFont="1" applyBorder="1" applyAlignment="1">
      <alignment vertical="center" wrapText="1"/>
    </xf>
    <xf numFmtId="0" fontId="20" fillId="0" borderId="0" xfId="0" applyFont="1" applyAlignment="1">
      <alignment horizontal="left" vertical="center" wrapText="1"/>
    </xf>
    <xf numFmtId="0" fontId="20" fillId="0" borderId="15" xfId="0" applyFont="1" applyBorder="1" applyAlignment="1">
      <alignment vertical="center" wrapText="1"/>
    </xf>
    <xf numFmtId="0" fontId="20" fillId="0" borderId="19" xfId="0" applyFont="1" applyBorder="1" applyAlignment="1">
      <alignment vertical="center" wrapText="1"/>
    </xf>
    <xf numFmtId="0" fontId="20" fillId="0" borderId="5" xfId="0" applyFont="1" applyBorder="1" applyAlignment="1">
      <alignment vertical="center" wrapText="1"/>
    </xf>
    <xf numFmtId="0" fontId="20" fillId="0" borderId="7" xfId="0" applyFont="1" applyBorder="1" applyAlignment="1">
      <alignment vertical="center" wrapText="1"/>
    </xf>
    <xf numFmtId="0" fontId="24" fillId="0" borderId="10" xfId="0" applyFont="1" applyBorder="1" applyAlignment="1">
      <alignment vertical="center" wrapText="1"/>
    </xf>
    <xf numFmtId="0" fontId="20" fillId="0" borderId="0" xfId="0" applyFont="1" applyAlignment="1">
      <alignment horizontal="left" vertical="center"/>
    </xf>
    <xf numFmtId="0" fontId="33" fillId="0" borderId="2" xfId="0" applyFont="1" applyBorder="1" applyAlignment="1">
      <alignment horizontal="center" vertical="center"/>
    </xf>
    <xf numFmtId="0" fontId="21" fillId="18" borderId="2" xfId="0" applyFont="1" applyFill="1" applyBorder="1" applyAlignment="1">
      <alignment horizontal="center" vertical="center"/>
    </xf>
    <xf numFmtId="164" fontId="33" fillId="11" borderId="1" xfId="0" applyNumberFormat="1" applyFont="1" applyFill="1" applyBorder="1" applyAlignment="1">
      <alignment horizontal="center" vertical="center"/>
    </xf>
    <xf numFmtId="164" fontId="33" fillId="0" borderId="1" xfId="0" applyNumberFormat="1" applyFont="1" applyBorder="1" applyAlignment="1">
      <alignment horizontal="center" vertical="center"/>
    </xf>
    <xf numFmtId="164" fontId="33" fillId="0" borderId="3" xfId="0" applyNumberFormat="1" applyFont="1" applyBorder="1" applyAlignment="1">
      <alignment horizontal="center" vertical="center"/>
    </xf>
    <xf numFmtId="0" fontId="20" fillId="17" borderId="15" xfId="0" applyFont="1" applyFill="1" applyBorder="1" applyAlignment="1">
      <alignment horizontal="left" vertical="center" wrapText="1"/>
    </xf>
    <xf numFmtId="0" fontId="2" fillId="9" borderId="1" xfId="0" applyFont="1" applyFill="1" applyBorder="1" applyAlignment="1">
      <alignment horizontal="center" vertical="center"/>
    </xf>
    <xf numFmtId="0" fontId="2" fillId="0" borderId="1" xfId="0" applyFont="1" applyBorder="1" applyAlignment="1">
      <alignment horizontal="center" vertical="center"/>
    </xf>
    <xf numFmtId="0" fontId="24" fillId="9" borderId="1" xfId="0" applyFont="1" applyFill="1" applyBorder="1" applyAlignment="1">
      <alignment horizontal="left" vertical="center" wrapText="1"/>
    </xf>
    <xf numFmtId="0" fontId="0" fillId="23" borderId="0" xfId="0" applyFill="1"/>
    <xf numFmtId="0" fontId="20" fillId="23" borderId="0" xfId="0" applyFont="1" applyFill="1"/>
    <xf numFmtId="0" fontId="1" fillId="23" borderId="0" xfId="0" applyFont="1" applyFill="1"/>
    <xf numFmtId="0" fontId="21" fillId="23" borderId="0" xfId="0" applyFont="1" applyFill="1"/>
    <xf numFmtId="0" fontId="21" fillId="23" borderId="0" xfId="0" applyFont="1" applyFill="1" applyAlignment="1">
      <alignment horizontal="left" wrapText="1"/>
    </xf>
    <xf numFmtId="0" fontId="21" fillId="23" borderId="0" xfId="0" applyFont="1" applyFill="1" applyAlignment="1">
      <alignment horizontal="left" vertical="center" wrapText="1"/>
    </xf>
    <xf numFmtId="49" fontId="21" fillId="24" borderId="0" xfId="0" applyNumberFormat="1" applyFont="1" applyFill="1"/>
    <xf numFmtId="15" fontId="21" fillId="24" borderId="0" xfId="0" applyNumberFormat="1" applyFont="1" applyFill="1" applyAlignment="1">
      <alignment horizontal="left"/>
    </xf>
    <xf numFmtId="0" fontId="22" fillId="24" borderId="0" xfId="0" applyFont="1" applyFill="1"/>
    <xf numFmtId="16" fontId="22" fillId="24" borderId="0" xfId="0" applyNumberFormat="1" applyFont="1" applyFill="1"/>
    <xf numFmtId="164" fontId="33" fillId="0" borderId="7" xfId="0" applyNumberFormat="1" applyFont="1" applyBorder="1" applyAlignment="1">
      <alignment horizontal="center" vertical="center"/>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0" fillId="17" borderId="4" xfId="0" applyFont="1" applyFill="1" applyBorder="1" applyAlignment="1">
      <alignment horizontal="left" vertical="center" wrapText="1"/>
    </xf>
    <xf numFmtId="0" fontId="3" fillId="0" borderId="0" xfId="0" applyFont="1" applyAlignment="1">
      <alignment horizontal="center"/>
    </xf>
    <xf numFmtId="0" fontId="3" fillId="0" borderId="0" xfId="0" applyFont="1"/>
    <xf numFmtId="164" fontId="3" fillId="0" borderId="0" xfId="0" applyNumberFormat="1" applyFont="1" applyAlignment="1">
      <alignment horizontal="center"/>
    </xf>
    <xf numFmtId="0" fontId="2" fillId="0" borderId="19" xfId="0" applyFont="1" applyBorder="1" applyAlignment="1">
      <alignment vertical="center" wrapText="1"/>
    </xf>
    <xf numFmtId="0" fontId="16" fillId="4" borderId="1"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23" fillId="5" borderId="3" xfId="0" applyFont="1" applyFill="1" applyBorder="1" applyAlignment="1">
      <alignment horizontal="center" vertical="center" wrapText="1"/>
    </xf>
    <xf numFmtId="0" fontId="21" fillId="18" borderId="7" xfId="0" applyFont="1" applyFill="1" applyBorder="1" applyAlignment="1">
      <alignment horizontal="center" vertical="center" wrapText="1"/>
    </xf>
    <xf numFmtId="0" fontId="33" fillId="0" borderId="10" xfId="0" applyFont="1" applyBorder="1" applyAlignment="1">
      <alignment horizontal="center" vertical="center"/>
    </xf>
    <xf numFmtId="0" fontId="18" fillId="19" borderId="1" xfId="0" applyFont="1" applyFill="1" applyBorder="1" applyAlignment="1">
      <alignment horizontal="center" vertical="center" wrapText="1"/>
    </xf>
    <xf numFmtId="0" fontId="24" fillId="0" borderId="2" xfId="0" applyFont="1" applyBorder="1" applyAlignment="1">
      <alignment horizontal="left" vertical="center" wrapText="1"/>
    </xf>
    <xf numFmtId="0" fontId="2" fillId="0" borderId="19" xfId="0" applyFont="1" applyBorder="1" applyAlignment="1">
      <alignment wrapText="1"/>
    </xf>
    <xf numFmtId="0" fontId="2" fillId="0" borderId="4" xfId="0" applyFont="1" applyBorder="1" applyAlignment="1">
      <alignment wrapText="1"/>
    </xf>
    <xf numFmtId="0" fontId="2" fillId="0" borderId="6" xfId="0" applyFont="1" applyBorder="1" applyAlignment="1">
      <alignment wrapText="1"/>
    </xf>
    <xf numFmtId="0" fontId="2" fillId="0" borderId="18" xfId="0" applyFont="1" applyBorder="1" applyAlignment="1">
      <alignment wrapText="1"/>
    </xf>
    <xf numFmtId="0" fontId="18" fillId="19" borderId="3" xfId="0" applyFont="1" applyFill="1" applyBorder="1" applyAlignment="1">
      <alignment horizontal="center" vertical="center" wrapText="1"/>
    </xf>
    <xf numFmtId="0" fontId="2" fillId="0" borderId="18" xfId="0" applyFont="1" applyBorder="1" applyAlignment="1">
      <alignment vertical="center" wrapText="1"/>
    </xf>
    <xf numFmtId="164" fontId="33" fillId="9" borderId="1" xfId="0" applyNumberFormat="1" applyFont="1" applyFill="1" applyBorder="1" applyAlignment="1">
      <alignment horizontal="center" vertical="center"/>
    </xf>
    <xf numFmtId="0" fontId="20" fillId="17" borderId="5" xfId="0" applyFont="1" applyFill="1" applyBorder="1" applyAlignment="1">
      <alignment horizontal="left" vertical="center" wrapText="1"/>
    </xf>
    <xf numFmtId="164" fontId="33" fillId="9" borderId="7" xfId="0" applyNumberFormat="1" applyFont="1" applyFill="1" applyBorder="1" applyAlignment="1">
      <alignment horizontal="center" vertical="center"/>
    </xf>
    <xf numFmtId="0" fontId="20" fillId="0" borderId="3" xfId="0" applyFont="1" applyBorder="1" applyAlignment="1">
      <alignment horizontal="left" vertical="center" wrapText="1"/>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5" xfId="0" applyFont="1" applyBorder="1" applyAlignment="1" applyProtection="1">
      <alignment horizontal="left" vertical="center" wrapText="1"/>
      <protection locked="0"/>
    </xf>
    <xf numFmtId="0" fontId="20" fillId="12" borderId="20" xfId="0" applyFont="1" applyFill="1" applyBorder="1" applyAlignment="1">
      <alignment horizontal="left" vertical="center" wrapText="1"/>
    </xf>
    <xf numFmtId="0" fontId="20" fillId="14" borderId="1" xfId="0" applyFont="1" applyFill="1" applyBorder="1" applyAlignment="1">
      <alignment horizontal="left" vertical="center" wrapText="1"/>
    </xf>
    <xf numFmtId="0" fontId="20" fillId="14" borderId="3" xfId="0" applyFont="1" applyFill="1" applyBorder="1" applyAlignment="1">
      <alignment horizontal="left" vertical="center" wrapText="1"/>
    </xf>
    <xf numFmtId="0" fontId="20" fillId="15" borderId="1" xfId="0" applyFont="1" applyFill="1" applyBorder="1" applyAlignment="1">
      <alignment horizontal="left" vertical="center" wrapText="1"/>
    </xf>
    <xf numFmtId="0" fontId="20" fillId="5" borderId="1" xfId="0" applyFont="1" applyFill="1" applyBorder="1" applyAlignment="1">
      <alignment horizontal="left" vertical="center" wrapText="1"/>
    </xf>
    <xf numFmtId="0" fontId="24" fillId="0" borderId="5" xfId="0" applyFont="1" applyBorder="1" applyAlignment="1">
      <alignment vertical="center" wrapText="1"/>
    </xf>
    <xf numFmtId="0" fontId="24" fillId="0" borderId="1" xfId="0" applyFont="1" applyBorder="1" applyAlignment="1">
      <alignment vertical="center" wrapText="1"/>
    </xf>
    <xf numFmtId="0" fontId="24" fillId="25" borderId="1" xfId="0" applyFont="1" applyFill="1" applyBorder="1" applyAlignment="1">
      <alignment horizontal="left" vertical="center" wrapText="1"/>
    </xf>
    <xf numFmtId="0" fontId="20" fillId="25" borderId="19" xfId="0" applyFont="1" applyFill="1" applyBorder="1" applyAlignment="1">
      <alignment vertical="center" wrapText="1"/>
    </xf>
    <xf numFmtId="0" fontId="2" fillId="25" borderId="2" xfId="0" applyFont="1" applyFill="1" applyBorder="1" applyAlignment="1">
      <alignment wrapText="1"/>
    </xf>
    <xf numFmtId="0" fontId="20" fillId="25" borderId="2" xfId="0" applyFont="1" applyFill="1" applyBorder="1" applyAlignment="1">
      <alignment vertical="center" wrapText="1"/>
    </xf>
    <xf numFmtId="0" fontId="2" fillId="25" borderId="19" xfId="0" applyFont="1" applyFill="1" applyBorder="1" applyAlignment="1">
      <alignment wrapText="1"/>
    </xf>
    <xf numFmtId="0" fontId="20" fillId="25" borderId="5" xfId="0" applyFont="1" applyFill="1" applyBorder="1" applyAlignment="1" applyProtection="1">
      <alignment horizontal="left" vertical="center" wrapText="1"/>
      <protection locked="0"/>
    </xf>
    <xf numFmtId="0" fontId="30" fillId="25" borderId="1" xfId="0" applyFont="1" applyFill="1" applyBorder="1" applyAlignment="1">
      <alignment horizontal="left" vertical="center" wrapText="1"/>
    </xf>
    <xf numFmtId="0" fontId="20" fillId="25" borderId="3" xfId="0" applyFont="1" applyFill="1" applyBorder="1" applyAlignment="1">
      <alignment horizontal="left" vertical="center" wrapText="1"/>
    </xf>
    <xf numFmtId="0" fontId="20" fillId="25" borderId="5" xfId="0" applyFont="1" applyFill="1" applyBorder="1" applyAlignment="1">
      <alignment horizontal="left" vertical="center" wrapText="1"/>
    </xf>
    <xf numFmtId="0" fontId="24" fillId="25" borderId="7" xfId="0" applyFont="1" applyFill="1" applyBorder="1" applyAlignment="1">
      <alignment horizontal="left" vertical="center" wrapText="1"/>
    </xf>
    <xf numFmtId="0" fontId="24" fillId="25" borderId="5" xfId="0" applyFont="1" applyFill="1" applyBorder="1" applyAlignment="1">
      <alignment vertical="center" wrapText="1"/>
    </xf>
    <xf numFmtId="0" fontId="24" fillId="25" borderId="7" xfId="0" applyFont="1" applyFill="1" applyBorder="1" applyAlignment="1">
      <alignment vertical="center" wrapText="1"/>
    </xf>
    <xf numFmtId="0" fontId="27" fillId="25" borderId="1" xfId="0" applyFont="1" applyFill="1" applyBorder="1" applyAlignment="1">
      <alignment horizontal="left" vertical="center" wrapText="1"/>
    </xf>
    <xf numFmtId="0" fontId="30" fillId="25" borderId="19" xfId="0" applyFont="1" applyFill="1" applyBorder="1" applyAlignment="1">
      <alignment wrapText="1"/>
    </xf>
    <xf numFmtId="0" fontId="2" fillId="25" borderId="4" xfId="0" applyFont="1" applyFill="1" applyBorder="1" applyAlignment="1">
      <alignment wrapText="1"/>
    </xf>
    <xf numFmtId="0" fontId="2" fillId="25" borderId="6" xfId="0" applyFont="1" applyFill="1" applyBorder="1" applyAlignment="1">
      <alignment wrapText="1"/>
    </xf>
    <xf numFmtId="0" fontId="27" fillId="25" borderId="2" xfId="0" applyFont="1" applyFill="1" applyBorder="1" applyAlignment="1">
      <alignment vertical="center" wrapText="1"/>
    </xf>
    <xf numFmtId="0" fontId="36" fillId="16" borderId="7" xfId="0" applyFont="1" applyFill="1" applyBorder="1" applyAlignment="1">
      <alignment horizontal="center" vertical="center" wrapText="1"/>
    </xf>
    <xf numFmtId="0" fontId="2" fillId="25" borderId="19" xfId="0" applyFont="1" applyFill="1" applyBorder="1" applyAlignment="1">
      <alignment vertical="center" wrapText="1"/>
    </xf>
    <xf numFmtId="0" fontId="24" fillId="0" borderId="0" xfId="0" applyFont="1" applyAlignment="1">
      <alignment horizontal="left" vertical="center" wrapText="1"/>
    </xf>
    <xf numFmtId="2" fontId="33" fillId="0" borderId="5" xfId="0" applyNumberFormat="1" applyFont="1" applyBorder="1" applyAlignment="1">
      <alignment vertical="center"/>
    </xf>
    <xf numFmtId="2" fontId="33" fillId="0" borderId="1" xfId="0" applyNumberFormat="1" applyFont="1" applyBorder="1" applyAlignment="1">
      <alignment vertical="center"/>
    </xf>
    <xf numFmtId="2" fontId="33" fillId="9" borderId="1" xfId="0" applyNumberFormat="1" applyFont="1" applyFill="1" applyBorder="1" applyAlignment="1">
      <alignment vertical="center"/>
    </xf>
    <xf numFmtId="164" fontId="33" fillId="9" borderId="1" xfId="0" applyNumberFormat="1" applyFont="1" applyFill="1" applyBorder="1" applyAlignment="1">
      <alignment vertical="center"/>
    </xf>
    <xf numFmtId="164" fontId="33" fillId="0" borderId="1" xfId="0" applyNumberFormat="1" applyFont="1" applyBorder="1" applyAlignment="1">
      <alignment vertical="center"/>
    </xf>
    <xf numFmtId="1" fontId="33" fillId="0" borderId="1" xfId="0" applyNumberFormat="1" applyFont="1" applyBorder="1" applyAlignment="1">
      <alignment vertical="center"/>
    </xf>
    <xf numFmtId="0" fontId="20" fillId="17" borderId="0" xfId="0" applyFont="1" applyFill="1" applyAlignment="1">
      <alignment horizontal="center" vertical="center" wrapText="1"/>
    </xf>
    <xf numFmtId="0" fontId="20" fillId="0" borderId="0" xfId="0" applyFont="1" applyAlignment="1">
      <alignment vertical="center" wrapText="1"/>
    </xf>
    <xf numFmtId="0" fontId="20" fillId="9" borderId="7" xfId="0" applyFont="1" applyFill="1" applyBorder="1" applyAlignment="1">
      <alignment horizontal="left" vertical="center" wrapText="1"/>
    </xf>
    <xf numFmtId="0" fontId="20" fillId="9" borderId="7" xfId="0" applyFont="1" applyFill="1" applyBorder="1" applyAlignment="1">
      <alignment horizontal="center" vertical="center" wrapText="1"/>
    </xf>
    <xf numFmtId="0" fontId="20" fillId="9" borderId="7" xfId="0" applyFont="1" applyFill="1" applyBorder="1" applyAlignment="1">
      <alignment horizontal="left" vertical="top" wrapText="1"/>
    </xf>
    <xf numFmtId="0" fontId="20" fillId="25" borderId="7" xfId="0" applyFont="1" applyFill="1" applyBorder="1" applyAlignment="1">
      <alignment horizontal="left" vertical="center" wrapText="1"/>
    </xf>
    <xf numFmtId="0" fontId="2" fillId="0" borderId="0" xfId="0" applyFont="1" applyAlignment="1">
      <alignment horizontal="center"/>
    </xf>
    <xf numFmtId="0" fontId="2" fillId="0" borderId="15" xfId="0" applyFont="1" applyBorder="1" applyAlignment="1">
      <alignment horizontal="center" vertical="center"/>
    </xf>
    <xf numFmtId="0" fontId="2" fillId="25" borderId="15" xfId="0" applyFont="1" applyFill="1" applyBorder="1" applyAlignment="1">
      <alignment horizontal="center" vertical="center"/>
    </xf>
    <xf numFmtId="0" fontId="2" fillId="25" borderId="1" xfId="0" applyFont="1" applyFill="1" applyBorder="1" applyAlignment="1">
      <alignment horizontal="center" vertical="center"/>
    </xf>
    <xf numFmtId="0" fontId="2" fillId="25" borderId="0" xfId="0" applyFont="1" applyFill="1"/>
    <xf numFmtId="0" fontId="2" fillId="0" borderId="0" xfId="0" applyFont="1" applyAlignment="1">
      <alignment horizontal="center" vertical="center"/>
    </xf>
    <xf numFmtId="0" fontId="0" fillId="3" borderId="30" xfId="0" applyFill="1" applyBorder="1"/>
    <xf numFmtId="0" fontId="0" fillId="13" borderId="30" xfId="0" applyFill="1" applyBorder="1"/>
    <xf numFmtId="0" fontId="0" fillId="5" borderId="32" xfId="0" applyFill="1" applyBorder="1"/>
    <xf numFmtId="0" fontId="39" fillId="9" borderId="28" xfId="0" applyFont="1" applyFill="1" applyBorder="1"/>
    <xf numFmtId="0" fontId="20" fillId="0" borderId="7" xfId="0" applyFont="1" applyBorder="1" applyAlignment="1">
      <alignment horizontal="center" vertical="center" wrapText="1"/>
    </xf>
    <xf numFmtId="0" fontId="20" fillId="15" borderId="1" xfId="0" applyFont="1" applyFill="1" applyBorder="1" applyAlignment="1">
      <alignment horizontal="center" vertical="center" wrapText="1"/>
    </xf>
    <xf numFmtId="164" fontId="33" fillId="0" borderId="5" xfId="0" applyNumberFormat="1" applyFont="1" applyBorder="1" applyAlignment="1">
      <alignment horizontal="center" vertical="center"/>
    </xf>
    <xf numFmtId="0" fontId="20" fillId="15" borderId="7" xfId="0" applyFont="1" applyFill="1" applyBorder="1" applyAlignment="1">
      <alignment horizontal="left" vertical="center" wrapText="1"/>
    </xf>
    <xf numFmtId="0" fontId="20" fillId="15" borderId="1" xfId="0" applyFont="1" applyFill="1" applyBorder="1" applyAlignment="1">
      <alignment vertical="center" wrapText="1"/>
    </xf>
    <xf numFmtId="0" fontId="27" fillId="26" borderId="1" xfId="0" applyFont="1" applyFill="1" applyBorder="1" applyAlignment="1">
      <alignment horizontal="left" vertical="center" wrapText="1"/>
    </xf>
    <xf numFmtId="0" fontId="27" fillId="26" borderId="7" xfId="0" applyFont="1" applyFill="1" applyBorder="1" applyAlignment="1">
      <alignment horizontal="left" vertical="center" wrapText="1"/>
    </xf>
    <xf numFmtId="0" fontId="27" fillId="15" borderId="3" xfId="0" applyFont="1" applyFill="1" applyBorder="1" applyAlignment="1">
      <alignment vertical="center" wrapText="1"/>
    </xf>
    <xf numFmtId="0" fontId="27" fillId="26" borderId="7" xfId="0" applyFont="1" applyFill="1" applyBorder="1" applyAlignment="1">
      <alignment horizontal="left" vertical="top" wrapText="1"/>
    </xf>
    <xf numFmtId="0" fontId="31" fillId="0" borderId="19" xfId="0" applyFont="1" applyBorder="1" applyAlignment="1">
      <alignment vertical="center" wrapText="1"/>
    </xf>
    <xf numFmtId="0" fontId="31" fillId="0" borderId="15" xfId="0" applyFont="1" applyBorder="1" applyAlignment="1">
      <alignment vertical="center" wrapText="1"/>
    </xf>
    <xf numFmtId="0" fontId="31" fillId="0" borderId="4" xfId="0" applyFont="1" applyBorder="1" applyAlignment="1">
      <alignment vertical="center" wrapText="1"/>
    </xf>
    <xf numFmtId="0" fontId="30" fillId="0" borderId="19" xfId="0" applyFont="1" applyBorder="1" applyAlignment="1">
      <alignment wrapText="1"/>
    </xf>
    <xf numFmtId="0" fontId="8" fillId="0" borderId="0" xfId="0" applyFont="1"/>
    <xf numFmtId="0" fontId="20" fillId="9" borderId="40" xfId="0" applyFont="1" applyFill="1" applyBorder="1" applyAlignment="1">
      <alignment vertical="center" wrapText="1"/>
    </xf>
    <xf numFmtId="164" fontId="33" fillId="27" borderId="1" xfId="0" applyNumberFormat="1" applyFont="1" applyFill="1" applyBorder="1" applyAlignment="1">
      <alignment horizontal="center" vertical="center"/>
    </xf>
    <xf numFmtId="0" fontId="0" fillId="0" borderId="27" xfId="0" applyBorder="1"/>
    <xf numFmtId="0" fontId="2" fillId="0" borderId="27" xfId="0" applyFont="1" applyBorder="1"/>
    <xf numFmtId="0" fontId="20" fillId="0" borderId="27" xfId="0" applyFont="1" applyBorder="1" applyAlignment="1">
      <alignment horizontal="left" vertical="center"/>
    </xf>
    <xf numFmtId="164" fontId="33" fillId="9" borderId="27" xfId="0" applyNumberFormat="1" applyFont="1" applyFill="1" applyBorder="1" applyAlignment="1">
      <alignment horizontal="center" vertical="center"/>
    </xf>
    <xf numFmtId="0" fontId="20" fillId="4" borderId="7" xfId="0" applyFont="1" applyFill="1" applyBorder="1" applyAlignment="1">
      <alignment horizontal="center" vertical="center"/>
    </xf>
    <xf numFmtId="0" fontId="42" fillId="4" borderId="1" xfId="0" applyFont="1" applyFill="1" applyBorder="1" applyAlignment="1">
      <alignment horizontal="left" vertical="center" wrapText="1"/>
    </xf>
    <xf numFmtId="0" fontId="21" fillId="23" borderId="46" xfId="0" applyFont="1" applyFill="1" applyBorder="1"/>
    <xf numFmtId="0" fontId="1" fillId="23" borderId="48" xfId="0" applyFont="1" applyFill="1" applyBorder="1"/>
    <xf numFmtId="0" fontId="20" fillId="0" borderId="44" xfId="0" applyFont="1" applyBorder="1" applyAlignment="1">
      <alignment horizontal="left" vertical="center"/>
    </xf>
    <xf numFmtId="0" fontId="20" fillId="0" borderId="44" xfId="0" applyFont="1" applyBorder="1" applyAlignment="1">
      <alignment vertical="center"/>
    </xf>
    <xf numFmtId="0" fontId="0" fillId="0" borderId="0" xfId="0" applyAlignment="1">
      <alignment horizontal="center" vertical="center"/>
    </xf>
    <xf numFmtId="0" fontId="0" fillId="9" borderId="50" xfId="0" applyFill="1" applyBorder="1"/>
    <xf numFmtId="0" fontId="38" fillId="9" borderId="0" xfId="0" applyFont="1" applyFill="1" applyAlignment="1">
      <alignment vertical="center"/>
    </xf>
    <xf numFmtId="0" fontId="38" fillId="9" borderId="51" xfId="0" applyFont="1" applyFill="1" applyBorder="1" applyAlignment="1">
      <alignment vertical="center"/>
    </xf>
    <xf numFmtId="0" fontId="43" fillId="0" borderId="0" xfId="0" applyFont="1"/>
    <xf numFmtId="0" fontId="43" fillId="0" borderId="0" xfId="0" applyFont="1" applyAlignment="1">
      <alignment horizontal="center" vertical="center"/>
    </xf>
    <xf numFmtId="0" fontId="43" fillId="0" borderId="0" xfId="0" applyFont="1" applyAlignment="1">
      <alignment horizontal="center"/>
    </xf>
    <xf numFmtId="0" fontId="18" fillId="19" borderId="7" xfId="0" applyFont="1" applyFill="1" applyBorder="1" applyAlignment="1">
      <alignment horizontal="center" vertical="center" wrapText="1"/>
    </xf>
    <xf numFmtId="0" fontId="18" fillId="19" borderId="5" xfId="0" applyFont="1" applyFill="1" applyBorder="1" applyAlignment="1">
      <alignment horizontal="center" vertical="center" wrapText="1"/>
    </xf>
    <xf numFmtId="0" fontId="18" fillId="19" borderId="8" xfId="0" applyFont="1" applyFill="1" applyBorder="1" applyAlignment="1">
      <alignment horizontal="center" vertical="center" wrapText="1"/>
    </xf>
    <xf numFmtId="0" fontId="45" fillId="0" borderId="0" xfId="0" applyFont="1" applyAlignment="1">
      <alignment vertical="center" wrapText="1"/>
    </xf>
    <xf numFmtId="0" fontId="46" fillId="0" borderId="0" xfId="0" applyFont="1"/>
    <xf numFmtId="0" fontId="45" fillId="0" borderId="0" xfId="0" applyFont="1" applyAlignment="1">
      <alignment wrapText="1"/>
    </xf>
    <xf numFmtId="0" fontId="23" fillId="18" borderId="3" xfId="0" applyFont="1" applyFill="1" applyBorder="1" applyAlignment="1">
      <alignment horizontal="center" vertical="center" wrapText="1"/>
    </xf>
    <xf numFmtId="0" fontId="41" fillId="18" borderId="27" xfId="0" applyFont="1" applyFill="1" applyBorder="1" applyAlignment="1">
      <alignment horizontal="center" vertical="center"/>
    </xf>
    <xf numFmtId="0" fontId="20" fillId="4" borderId="1" xfId="0" applyFont="1" applyFill="1" applyBorder="1" applyAlignment="1">
      <alignment vertical="center" wrapText="1"/>
    </xf>
    <xf numFmtId="0" fontId="20" fillId="15" borderId="14" xfId="0" applyFont="1" applyFill="1" applyBorder="1" applyAlignment="1">
      <alignment horizontal="left" vertical="center" wrapText="1"/>
    </xf>
    <xf numFmtId="164" fontId="33" fillId="9" borderId="3" xfId="0" applyNumberFormat="1" applyFont="1" applyFill="1" applyBorder="1" applyAlignment="1">
      <alignment horizontal="center" vertical="center"/>
    </xf>
    <xf numFmtId="0" fontId="7" fillId="31" borderId="1" xfId="0" applyFont="1" applyFill="1" applyBorder="1" applyAlignment="1">
      <alignment horizontal="center" vertical="center" wrapText="1"/>
    </xf>
    <xf numFmtId="0" fontId="0" fillId="0" borderId="1" xfId="0" applyBorder="1" applyAlignment="1">
      <alignment horizontal="center" vertical="center" wrapText="1"/>
    </xf>
    <xf numFmtId="2" fontId="33"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2" fontId="33" fillId="0" borderId="3" xfId="0" applyNumberFormat="1" applyFont="1" applyBorder="1" applyAlignment="1">
      <alignment horizontal="center" vertical="center" wrapText="1"/>
    </xf>
    <xf numFmtId="0" fontId="33" fillId="0" borderId="27" xfId="0" applyFont="1" applyBorder="1" applyAlignment="1">
      <alignment horizontal="center" vertical="center" wrapText="1"/>
    </xf>
    <xf numFmtId="0" fontId="47" fillId="23" borderId="0" xfId="0" applyFont="1" applyFill="1"/>
    <xf numFmtId="0" fontId="25" fillId="12" borderId="1" xfId="0" applyFont="1" applyFill="1" applyBorder="1" applyAlignment="1">
      <alignment horizontal="center" vertical="center" wrapText="1"/>
    </xf>
    <xf numFmtId="0" fontId="15" fillId="4" borderId="0" xfId="0" applyFont="1" applyFill="1" applyAlignment="1">
      <alignment horizontal="center" vertical="center" wrapText="1"/>
    </xf>
    <xf numFmtId="0" fontId="20" fillId="2" borderId="1" xfId="0" applyFont="1" applyFill="1" applyBorder="1" applyAlignment="1">
      <alignment horizontal="left" vertical="center" wrapText="1"/>
    </xf>
    <xf numFmtId="0" fontId="20" fillId="0" borderId="0" xfId="0" applyFont="1" applyAlignment="1">
      <alignment vertical="center"/>
    </xf>
    <xf numFmtId="0" fontId="56" fillId="13" borderId="1" xfId="0" applyFont="1" applyFill="1" applyBorder="1" applyAlignment="1">
      <alignment horizontal="center" vertical="center" wrapText="1"/>
    </xf>
    <xf numFmtId="0" fontId="57" fillId="18" borderId="1" xfId="0" applyFont="1" applyFill="1" applyBorder="1" applyAlignment="1">
      <alignment horizontal="center" vertical="center" wrapText="1"/>
    </xf>
    <xf numFmtId="0" fontId="49" fillId="9" borderId="7" xfId="0" applyFont="1" applyFill="1" applyBorder="1" applyAlignment="1">
      <alignment horizontal="left" vertical="center" wrapText="1"/>
    </xf>
    <xf numFmtId="0" fontId="0" fillId="23" borderId="14" xfId="0" applyFill="1" applyBorder="1"/>
    <xf numFmtId="0" fontId="0" fillId="23" borderId="10" xfId="0" applyFill="1" applyBorder="1"/>
    <xf numFmtId="0" fontId="20" fillId="0" borderId="1" xfId="0" applyFont="1" applyBorder="1"/>
    <xf numFmtId="0" fontId="20" fillId="0" borderId="1" xfId="0" applyFont="1" applyBorder="1" applyAlignment="1">
      <alignment wrapText="1"/>
    </xf>
    <xf numFmtId="0" fontId="60" fillId="23" borderId="0" xfId="0" applyFont="1" applyFill="1"/>
    <xf numFmtId="0" fontId="49" fillId="9" borderId="1" xfId="0" applyFont="1" applyFill="1" applyBorder="1" applyAlignment="1">
      <alignment horizontal="left" vertical="center" wrapText="1"/>
    </xf>
    <xf numFmtId="0" fontId="41" fillId="18" borderId="27" xfId="0" applyFont="1" applyFill="1" applyBorder="1" applyAlignment="1">
      <alignment horizontal="center" vertical="center" wrapText="1"/>
    </xf>
    <xf numFmtId="0" fontId="18" fillId="30" borderId="27" xfId="0" applyFont="1" applyFill="1" applyBorder="1" applyAlignment="1">
      <alignment vertical="center" wrapText="1"/>
    </xf>
    <xf numFmtId="0" fontId="48" fillId="9" borderId="2" xfId="0" applyFont="1" applyFill="1" applyBorder="1"/>
    <xf numFmtId="0" fontId="20" fillId="5" borderId="2" xfId="0" applyFont="1" applyFill="1" applyBorder="1"/>
    <xf numFmtId="0" fontId="20" fillId="13" borderId="2" xfId="0" applyFont="1" applyFill="1" applyBorder="1"/>
    <xf numFmtId="0" fontId="35" fillId="3" borderId="2" xfId="0" applyFont="1" applyFill="1" applyBorder="1" applyAlignment="1">
      <alignment vertical="center"/>
    </xf>
    <xf numFmtId="0" fontId="50" fillId="26" borderId="7" xfId="0" applyFont="1" applyFill="1" applyBorder="1" applyAlignment="1">
      <alignment horizontal="left" vertical="center" wrapText="1"/>
    </xf>
    <xf numFmtId="0" fontId="49" fillId="0" borderId="3" xfId="0" applyFont="1" applyBorder="1" applyAlignment="1">
      <alignment vertical="center" wrapText="1"/>
    </xf>
    <xf numFmtId="0" fontId="49" fillId="0" borderId="1" xfId="0" applyFont="1" applyBorder="1"/>
    <xf numFmtId="0" fontId="49" fillId="9" borderId="7" xfId="0" applyFont="1" applyFill="1" applyBorder="1" applyAlignment="1">
      <alignment horizontal="left" vertical="top" wrapText="1"/>
    </xf>
    <xf numFmtId="0" fontId="27" fillId="0" borderId="7" xfId="0" applyFont="1" applyBorder="1" applyAlignment="1">
      <alignment horizontal="left" vertical="top" wrapText="1"/>
    </xf>
    <xf numFmtId="0" fontId="20" fillId="0" borderId="3" xfId="0" applyFont="1" applyBorder="1"/>
    <xf numFmtId="164" fontId="33" fillId="0" borderId="2" xfId="0" applyNumberFormat="1" applyFont="1" applyBorder="1" applyAlignment="1">
      <alignment vertical="center"/>
    </xf>
    <xf numFmtId="164" fontId="33" fillId="0" borderId="8" xfId="0" applyNumberFormat="1" applyFont="1" applyBorder="1" applyAlignment="1">
      <alignment vertical="center"/>
    </xf>
    <xf numFmtId="164" fontId="33" fillId="0" borderId="43" xfId="0" applyNumberFormat="1" applyFont="1" applyBorder="1" applyAlignment="1">
      <alignment vertical="center"/>
    </xf>
    <xf numFmtId="1" fontId="33" fillId="0" borderId="2" xfId="0" applyNumberFormat="1" applyFont="1" applyBorder="1" applyAlignment="1">
      <alignment vertical="center"/>
    </xf>
    <xf numFmtId="1" fontId="33" fillId="0" borderId="1" xfId="0" applyNumberFormat="1" applyFont="1" applyBorder="1" applyAlignment="1">
      <alignment horizontal="center" vertical="center"/>
    </xf>
    <xf numFmtId="0" fontId="20" fillId="2" borderId="7" xfId="0" applyFont="1" applyFill="1" applyBorder="1" applyAlignment="1">
      <alignment horizontal="left" vertical="center" wrapText="1"/>
    </xf>
    <xf numFmtId="0" fontId="20" fillId="2" borderId="1" xfId="0" applyFont="1" applyFill="1" applyBorder="1" applyAlignment="1">
      <alignment wrapText="1"/>
    </xf>
    <xf numFmtId="0" fontId="27" fillId="33" borderId="7" xfId="0" applyFont="1" applyFill="1" applyBorder="1" applyAlignment="1">
      <alignment horizontal="left" vertical="top" wrapText="1"/>
    </xf>
    <xf numFmtId="164" fontId="33" fillId="9" borderId="2" xfId="0" applyNumberFormat="1" applyFont="1" applyFill="1" applyBorder="1" applyAlignment="1">
      <alignment horizontal="center" vertical="center"/>
    </xf>
    <xf numFmtId="0" fontId="20" fillId="15" borderId="5" xfId="0" applyFont="1" applyFill="1" applyBorder="1" applyAlignment="1">
      <alignment horizontal="center" vertical="center" wrapText="1"/>
    </xf>
    <xf numFmtId="0" fontId="27" fillId="26" borderId="7"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44" fillId="13" borderId="0" xfId="0" applyFont="1" applyFill="1" applyAlignment="1">
      <alignment horizontal="center" vertical="center" wrapText="1"/>
    </xf>
    <xf numFmtId="0" fontId="44" fillId="13" borderId="0" xfId="0" applyFont="1" applyFill="1" applyAlignment="1">
      <alignment horizontal="left" vertical="center" wrapText="1"/>
    </xf>
    <xf numFmtId="0" fontId="2" fillId="0" borderId="0" xfId="0" applyFont="1" applyAlignment="1">
      <alignment wrapText="1"/>
    </xf>
    <xf numFmtId="0" fontId="69" fillId="23" borderId="0" xfId="0" applyFont="1" applyFill="1"/>
    <xf numFmtId="0" fontId="70" fillId="30" borderId="1" xfId="0" applyFont="1" applyFill="1" applyBorder="1" applyAlignment="1">
      <alignment vertical="center" wrapText="1"/>
    </xf>
    <xf numFmtId="0" fontId="69" fillId="0" borderId="1" xfId="0" applyFont="1" applyBorder="1"/>
    <xf numFmtId="0" fontId="56" fillId="18" borderId="1" xfId="0" applyFont="1" applyFill="1" applyBorder="1" applyAlignment="1">
      <alignment vertical="center" wrapText="1"/>
    </xf>
    <xf numFmtId="0" fontId="71" fillId="4" borderId="1" xfId="0" applyFont="1" applyFill="1" applyBorder="1" applyAlignment="1">
      <alignment horizontal="center"/>
    </xf>
    <xf numFmtId="0" fontId="57" fillId="12" borderId="1" xfId="0" applyFont="1" applyFill="1" applyBorder="1" applyAlignment="1">
      <alignment vertical="center" wrapText="1"/>
    </xf>
    <xf numFmtId="0" fontId="57" fillId="14" borderId="1" xfId="0" applyFont="1" applyFill="1" applyBorder="1" applyAlignment="1">
      <alignment vertical="center" wrapText="1"/>
    </xf>
    <xf numFmtId="0" fontId="57" fillId="15" borderId="1" xfId="0" applyFont="1" applyFill="1" applyBorder="1" applyAlignment="1">
      <alignment vertical="center" wrapText="1"/>
    </xf>
    <xf numFmtId="0" fontId="57" fillId="28" borderId="1" xfId="0" applyFont="1" applyFill="1" applyBorder="1" applyAlignment="1">
      <alignment vertical="center" wrapText="1"/>
    </xf>
    <xf numFmtId="0" fontId="57" fillId="17" borderId="1" xfId="0" applyFont="1" applyFill="1" applyBorder="1" applyAlignment="1">
      <alignment vertical="center" wrapText="1"/>
    </xf>
    <xf numFmtId="0" fontId="33" fillId="23" borderId="1" xfId="0" applyFont="1" applyFill="1" applyBorder="1" applyAlignment="1">
      <alignment horizontal="left" vertical="center" wrapText="1"/>
    </xf>
    <xf numFmtId="0" fontId="33" fillId="9" borderId="1" xfId="0" applyFont="1" applyFill="1" applyBorder="1" applyAlignment="1">
      <alignment horizontal="center" vertical="center" wrapText="1"/>
    </xf>
    <xf numFmtId="0" fontId="33" fillId="22" borderId="1" xfId="0" applyFont="1" applyFill="1" applyBorder="1" applyAlignment="1">
      <alignment horizontal="center" vertical="center"/>
    </xf>
    <xf numFmtId="0" fontId="33" fillId="9" borderId="1" xfId="0" applyFont="1" applyFill="1" applyBorder="1" applyAlignment="1">
      <alignment horizontal="left" vertical="center" wrapText="1"/>
    </xf>
    <xf numFmtId="0" fontId="33" fillId="9" borderId="2" xfId="0" applyFont="1" applyFill="1" applyBorder="1" applyAlignment="1">
      <alignment horizontal="left" vertical="center" wrapText="1"/>
    </xf>
    <xf numFmtId="0" fontId="33" fillId="0" borderId="1" xfId="0" applyFont="1" applyBorder="1" applyAlignment="1">
      <alignment vertical="center" wrapText="1"/>
    </xf>
    <xf numFmtId="0" fontId="33" fillId="9" borderId="18" xfId="0" applyFont="1" applyFill="1" applyBorder="1" applyAlignment="1">
      <alignment horizontal="center" vertical="center"/>
    </xf>
    <xf numFmtId="0" fontId="33" fillId="9" borderId="15" xfId="0" applyFont="1" applyFill="1" applyBorder="1" applyAlignment="1">
      <alignment vertical="center" wrapText="1"/>
    </xf>
    <xf numFmtId="0" fontId="33" fillId="0" borderId="15" xfId="0" applyFont="1" applyBorder="1" applyAlignment="1">
      <alignment vertical="center" wrapText="1"/>
    </xf>
    <xf numFmtId="0" fontId="33" fillId="18" borderId="1" xfId="0" applyFont="1" applyFill="1" applyBorder="1" applyAlignment="1">
      <alignment horizontal="center" vertical="center"/>
    </xf>
    <xf numFmtId="0" fontId="33" fillId="0" borderId="19" xfId="0" applyFont="1" applyBorder="1" applyAlignment="1">
      <alignment vertical="center" wrapText="1"/>
    </xf>
    <xf numFmtId="0" fontId="33" fillId="0" borderId="43" xfId="0" applyFont="1" applyBorder="1" applyAlignment="1">
      <alignment vertical="center" wrapText="1"/>
    </xf>
    <xf numFmtId="0" fontId="33" fillId="0" borderId="1" xfId="0" applyFont="1" applyBorder="1" applyAlignment="1">
      <alignment horizontal="left" vertical="center" wrapText="1"/>
    </xf>
    <xf numFmtId="0" fontId="33" fillId="12" borderId="38" xfId="0" applyFont="1" applyFill="1" applyBorder="1" applyAlignment="1">
      <alignment horizontal="left" vertical="center" wrapText="1"/>
    </xf>
    <xf numFmtId="0" fontId="33" fillId="9" borderId="42" xfId="0" applyFont="1" applyFill="1" applyBorder="1" applyAlignment="1">
      <alignment horizontal="center" vertical="center" wrapText="1"/>
    </xf>
    <xf numFmtId="0" fontId="33" fillId="9" borderId="15" xfId="0" applyFont="1" applyFill="1" applyBorder="1" applyAlignment="1">
      <alignment horizontal="center" vertical="center"/>
    </xf>
    <xf numFmtId="0" fontId="33" fillId="9" borderId="4" xfId="0" applyFont="1" applyFill="1" applyBorder="1" applyAlignment="1">
      <alignment vertical="center" wrapText="1"/>
    </xf>
    <xf numFmtId="0" fontId="78" fillId="0" borderId="1" xfId="1" applyFont="1" applyBorder="1" applyAlignment="1">
      <alignment vertical="center" wrapText="1"/>
    </xf>
    <xf numFmtId="0" fontId="33" fillId="9" borderId="40" xfId="0" applyFont="1" applyFill="1" applyBorder="1" applyAlignment="1">
      <alignment horizontal="center" vertical="center" wrapText="1"/>
    </xf>
    <xf numFmtId="0" fontId="79" fillId="0" borderId="1" xfId="0" applyFont="1" applyBorder="1" applyAlignment="1">
      <alignment horizontal="left" vertical="center" wrapText="1"/>
    </xf>
    <xf numFmtId="0" fontId="33" fillId="0" borderId="4" xfId="0" applyFont="1" applyBorder="1" applyAlignment="1">
      <alignment vertical="center" wrapText="1"/>
    </xf>
    <xf numFmtId="0" fontId="33" fillId="0" borderId="2" xfId="0" applyFont="1" applyBorder="1" applyAlignment="1">
      <alignment horizontal="left" vertical="center" wrapText="1"/>
    </xf>
    <xf numFmtId="0" fontId="80" fillId="0" borderId="43" xfId="0" applyFont="1" applyBorder="1" applyAlignment="1">
      <alignment horizontal="left" vertical="center" wrapText="1"/>
    </xf>
    <xf numFmtId="0" fontId="33" fillId="14" borderId="17" xfId="0" applyFont="1" applyFill="1" applyBorder="1" applyAlignment="1">
      <alignment vertical="center" wrapText="1"/>
    </xf>
    <xf numFmtId="0" fontId="33" fillId="14" borderId="2" xfId="0" applyFont="1" applyFill="1" applyBorder="1" applyAlignment="1">
      <alignment horizontal="left" vertical="center" wrapText="1"/>
    </xf>
    <xf numFmtId="0" fontId="33" fillId="9" borderId="3" xfId="0" applyFont="1" applyFill="1" applyBorder="1" applyAlignment="1">
      <alignment vertical="center" wrapText="1"/>
    </xf>
    <xf numFmtId="0" fontId="33" fillId="0" borderId="3" xfId="0" applyFont="1" applyBorder="1" applyAlignment="1">
      <alignment vertical="center" wrapText="1"/>
    </xf>
    <xf numFmtId="0" fontId="33" fillId="0" borderId="19" xfId="0" applyFont="1" applyBorder="1" applyAlignment="1">
      <alignment horizontal="left" vertical="center" wrapText="1"/>
    </xf>
    <xf numFmtId="0" fontId="79" fillId="0" borderId="43" xfId="0" applyFont="1" applyBorder="1" applyAlignment="1">
      <alignment horizontal="left" vertical="center" wrapText="1"/>
    </xf>
    <xf numFmtId="0" fontId="33" fillId="14" borderId="0" xfId="0" applyFont="1" applyFill="1" applyAlignment="1">
      <alignment vertical="center" wrapText="1"/>
    </xf>
    <xf numFmtId="0" fontId="73" fillId="14" borderId="2" xfId="0" applyFont="1" applyFill="1" applyBorder="1" applyAlignment="1">
      <alignment horizontal="left" vertical="center" wrapText="1"/>
    </xf>
    <xf numFmtId="0" fontId="33" fillId="14" borderId="0" xfId="0" applyFont="1" applyFill="1" applyAlignment="1">
      <alignment horizontal="center" vertical="center" wrapText="1"/>
    </xf>
    <xf numFmtId="0" fontId="79" fillId="0" borderId="10" xfId="0" applyFont="1" applyBorder="1" applyAlignment="1">
      <alignment vertical="center" wrapText="1"/>
    </xf>
    <xf numFmtId="0" fontId="73" fillId="0" borderId="2" xfId="0" applyFont="1" applyBorder="1" applyAlignment="1">
      <alignment horizontal="center" vertical="center"/>
    </xf>
    <xf numFmtId="0" fontId="33" fillId="23" borderId="2" xfId="0" applyFont="1" applyFill="1" applyBorder="1" applyAlignment="1">
      <alignment horizontal="left" vertical="center" wrapText="1"/>
    </xf>
    <xf numFmtId="0" fontId="33" fillId="22" borderId="15" xfId="0" applyFont="1" applyFill="1" applyBorder="1" applyAlignment="1">
      <alignment horizontal="center" vertical="center"/>
    </xf>
    <xf numFmtId="0" fontId="33" fillId="15" borderId="1" xfId="0" applyFont="1" applyFill="1" applyBorder="1" applyAlignment="1">
      <alignment horizontal="left" vertical="center" wrapText="1"/>
    </xf>
    <xf numFmtId="0" fontId="73" fillId="18" borderId="1" xfId="0" applyFont="1" applyFill="1" applyBorder="1" applyAlignment="1">
      <alignment horizontal="center" vertical="center"/>
    </xf>
    <xf numFmtId="0" fontId="33" fillId="28" borderId="2" xfId="0" applyFont="1" applyFill="1" applyBorder="1" applyAlignment="1">
      <alignment horizontal="left" vertical="center" wrapText="1"/>
    </xf>
    <xf numFmtId="0" fontId="33" fillId="9" borderId="19" xfId="0" applyFont="1" applyFill="1" applyBorder="1" applyAlignment="1">
      <alignment vertical="center" wrapText="1"/>
    </xf>
    <xf numFmtId="0" fontId="33" fillId="0" borderId="19" xfId="0" applyFont="1" applyBorder="1" applyAlignment="1">
      <alignment wrapText="1"/>
    </xf>
    <xf numFmtId="0" fontId="33" fillId="0" borderId="43" xfId="0" applyFont="1" applyBorder="1" applyAlignment="1">
      <alignment wrapText="1"/>
    </xf>
    <xf numFmtId="0" fontId="33" fillId="0" borderId="15" xfId="0" applyFont="1" applyBorder="1" applyAlignment="1">
      <alignment horizontal="center" vertical="center"/>
    </xf>
    <xf numFmtId="0" fontId="33" fillId="0" borderId="43" xfId="0" applyFont="1" applyBorder="1" applyAlignment="1">
      <alignment horizontal="center" wrapText="1"/>
    </xf>
    <xf numFmtId="0" fontId="33" fillId="18" borderId="1" xfId="0" applyFont="1" applyFill="1" applyBorder="1" applyAlignment="1">
      <alignment horizontal="center" vertical="center" wrapText="1"/>
    </xf>
    <xf numFmtId="0" fontId="33" fillId="17" borderId="14" xfId="0" applyFont="1" applyFill="1" applyBorder="1" applyAlignment="1">
      <alignment horizontal="center" vertical="center" wrapText="1"/>
    </xf>
    <xf numFmtId="0" fontId="33" fillId="0" borderId="43" xfId="0" applyFont="1" applyBorder="1" applyAlignment="1">
      <alignment horizontal="left" vertical="center" wrapText="1"/>
    </xf>
    <xf numFmtId="0" fontId="33" fillId="0" borderId="5" xfId="0" applyFont="1" applyBorder="1" applyAlignment="1">
      <alignment vertical="center" wrapText="1"/>
    </xf>
    <xf numFmtId="0" fontId="33" fillId="0" borderId="7" xfId="0" applyFont="1" applyBorder="1" applyAlignment="1">
      <alignment vertical="center" wrapText="1"/>
    </xf>
    <xf numFmtId="0" fontId="33" fillId="0" borderId="11" xfId="0" applyFont="1" applyBorder="1" applyAlignment="1">
      <alignment horizontal="left" vertical="center" wrapText="1"/>
    </xf>
    <xf numFmtId="0" fontId="33" fillId="0" borderId="43" xfId="0" applyFont="1" applyBorder="1" applyAlignment="1">
      <alignment horizontal="center" vertical="center" wrapText="1"/>
    </xf>
    <xf numFmtId="0" fontId="75" fillId="0" borderId="1" xfId="0" applyFont="1" applyBorder="1" applyAlignment="1">
      <alignment vertical="center" wrapText="1"/>
    </xf>
    <xf numFmtId="0" fontId="33" fillId="0" borderId="27" xfId="0" applyFont="1" applyBorder="1" applyAlignment="1">
      <alignment vertical="center" wrapText="1"/>
    </xf>
    <xf numFmtId="0" fontId="80" fillId="0" borderId="27" xfId="0" applyFont="1" applyBorder="1" applyAlignment="1">
      <alignment horizontal="left" vertical="center" wrapText="1"/>
    </xf>
    <xf numFmtId="0" fontId="79" fillId="0" borderId="27" xfId="0" applyFont="1" applyBorder="1" applyAlignment="1">
      <alignment horizontal="left" vertical="center" wrapText="1"/>
    </xf>
    <xf numFmtId="0" fontId="33" fillId="0" borderId="27" xfId="0" applyFont="1" applyBorder="1" applyAlignment="1">
      <alignment wrapText="1"/>
    </xf>
    <xf numFmtId="0" fontId="33" fillId="0" borderId="49" xfId="0" applyFont="1" applyBorder="1" applyAlignment="1">
      <alignment vertical="center" wrapText="1"/>
    </xf>
    <xf numFmtId="0" fontId="33" fillId="0" borderId="27" xfId="0" applyFont="1" applyBorder="1" applyAlignment="1">
      <alignment horizontal="center" wrapText="1"/>
    </xf>
    <xf numFmtId="0" fontId="33" fillId="0" borderId="27" xfId="0" applyFont="1" applyBorder="1" applyAlignment="1">
      <alignment horizontal="left" vertical="center" wrapText="1"/>
    </xf>
    <xf numFmtId="0" fontId="17" fillId="19" borderId="1" xfId="0" applyFont="1" applyFill="1" applyBorder="1" applyAlignment="1">
      <alignment horizontal="center" vertical="center" wrapText="1"/>
    </xf>
    <xf numFmtId="0" fontId="17" fillId="19" borderId="7" xfId="0" applyFont="1" applyFill="1" applyBorder="1" applyAlignment="1">
      <alignment horizontal="center" vertical="center" wrapText="1"/>
    </xf>
    <xf numFmtId="0" fontId="33" fillId="0" borderId="7" xfId="0" applyFont="1" applyBorder="1" applyAlignment="1">
      <alignment horizontal="center" vertical="center"/>
    </xf>
    <xf numFmtId="0" fontId="33" fillId="9" borderId="7" xfId="0" applyFont="1" applyFill="1" applyBorder="1" applyAlignment="1">
      <alignment horizontal="center" vertical="center" wrapText="1"/>
    </xf>
    <xf numFmtId="0" fontId="33" fillId="9" borderId="7" xfId="0" applyFont="1" applyFill="1" applyBorder="1" applyAlignment="1">
      <alignment horizontal="center" vertical="center"/>
    </xf>
    <xf numFmtId="0" fontId="33" fillId="12" borderId="1" xfId="0" applyFont="1" applyFill="1" applyBorder="1" applyAlignment="1">
      <alignment horizontal="left" vertical="center" wrapText="1"/>
    </xf>
    <xf numFmtId="0" fontId="33" fillId="9" borderId="7" xfId="0" applyFont="1" applyFill="1" applyBorder="1" applyAlignment="1">
      <alignment horizontal="left" vertical="center" wrapText="1"/>
    </xf>
    <xf numFmtId="0" fontId="33" fillId="14" borderId="1" xfId="0" applyFont="1" applyFill="1" applyBorder="1" applyAlignment="1">
      <alignment horizontal="left" vertical="center" wrapText="1"/>
    </xf>
    <xf numFmtId="0" fontId="33" fillId="28" borderId="1" xfId="0" applyFont="1" applyFill="1" applyBorder="1" applyAlignment="1">
      <alignment horizontal="left" vertical="center" wrapText="1"/>
    </xf>
    <xf numFmtId="0" fontId="33" fillId="17" borderId="1" xfId="0" applyFont="1" applyFill="1" applyBorder="1" applyAlignment="1">
      <alignment horizontal="left" vertical="center" wrapText="1"/>
    </xf>
    <xf numFmtId="0" fontId="33" fillId="9" borderId="5" xfId="0" applyFont="1" applyFill="1" applyBorder="1" applyAlignment="1">
      <alignment horizontal="left" vertical="center" wrapText="1"/>
    </xf>
    <xf numFmtId="0" fontId="85" fillId="9" borderId="28" xfId="0" applyFont="1" applyFill="1" applyBorder="1"/>
    <xf numFmtId="0" fontId="65" fillId="9" borderId="29" xfId="0" applyFont="1" applyFill="1" applyBorder="1"/>
    <xf numFmtId="0" fontId="65" fillId="23" borderId="27" xfId="0" applyFont="1" applyFill="1" applyBorder="1"/>
    <xf numFmtId="0" fontId="65" fillId="23" borderId="0" xfId="0" applyFont="1" applyFill="1"/>
    <xf numFmtId="0" fontId="65" fillId="3" borderId="30" xfId="0" applyFont="1" applyFill="1" applyBorder="1"/>
    <xf numFmtId="0" fontId="86" fillId="9" borderId="31" xfId="0" applyFont="1" applyFill="1" applyBorder="1" applyAlignment="1">
      <alignment vertical="center"/>
    </xf>
    <xf numFmtId="0" fontId="65" fillId="13" borderId="30" xfId="0" applyFont="1" applyFill="1" applyBorder="1"/>
    <xf numFmtId="0" fontId="33" fillId="23" borderId="27" xfId="0" applyFont="1" applyFill="1" applyBorder="1"/>
    <xf numFmtId="0" fontId="65" fillId="5" borderId="32" xfId="0" applyFont="1" applyFill="1" applyBorder="1"/>
    <xf numFmtId="0" fontId="86" fillId="9" borderId="33" xfId="0" applyFont="1" applyFill="1" applyBorder="1" applyAlignment="1">
      <alignment vertical="center"/>
    </xf>
    <xf numFmtId="0" fontId="29" fillId="13" borderId="1" xfId="0" applyFont="1" applyFill="1" applyBorder="1" applyAlignment="1">
      <alignment vertical="center"/>
    </xf>
    <xf numFmtId="0" fontId="33" fillId="23" borderId="0" xfId="0" applyFont="1" applyFill="1"/>
    <xf numFmtId="0" fontId="33" fillId="0" borderId="1" xfId="0" applyFont="1" applyBorder="1" applyAlignment="1">
      <alignment horizontal="center" vertical="center"/>
    </xf>
    <xf numFmtId="0" fontId="17" fillId="4" borderId="1" xfId="0" applyFont="1" applyFill="1" applyBorder="1"/>
    <xf numFmtId="0" fontId="17" fillId="4" borderId="14" xfId="0" applyFont="1" applyFill="1" applyBorder="1"/>
    <xf numFmtId="0" fontId="40" fillId="13" borderId="1" xfId="0" applyFont="1" applyFill="1" applyBorder="1" applyAlignment="1">
      <alignment vertical="center" wrapText="1"/>
    </xf>
    <xf numFmtId="0" fontId="79" fillId="9" borderId="7" xfId="0" applyFont="1" applyFill="1" applyBorder="1" applyAlignment="1">
      <alignment horizontal="left" vertical="center" wrapText="1"/>
    </xf>
    <xf numFmtId="0" fontId="33" fillId="0" borderId="5" xfId="0" applyFont="1" applyBorder="1" applyAlignment="1">
      <alignment horizontal="center" vertical="center" wrapText="1"/>
    </xf>
    <xf numFmtId="0" fontId="33" fillId="18" borderId="7" xfId="0" applyFont="1" applyFill="1" applyBorder="1" applyAlignment="1">
      <alignment horizontal="center" vertical="center" wrapText="1"/>
    </xf>
    <xf numFmtId="0" fontId="79" fillId="9" borderId="1" xfId="0" applyFont="1" applyFill="1" applyBorder="1" applyAlignment="1">
      <alignment horizontal="left" vertical="center" wrapText="1"/>
    </xf>
    <xf numFmtId="0" fontId="33" fillId="0" borderId="7" xfId="0" applyFont="1" applyBorder="1" applyAlignment="1">
      <alignment horizontal="center" vertical="center" wrapText="1"/>
    </xf>
    <xf numFmtId="0" fontId="33" fillId="0" borderId="7" xfId="0" applyFont="1" applyBorder="1" applyAlignment="1">
      <alignment horizontal="left" vertical="center" wrapText="1"/>
    </xf>
    <xf numFmtId="0" fontId="33" fillId="14" borderId="8" xfId="0" applyFont="1" applyFill="1" applyBorder="1" applyAlignment="1">
      <alignment horizontal="left" vertical="center" wrapText="1"/>
    </xf>
    <xf numFmtId="0" fontId="73" fillId="0" borderId="19" xfId="0" applyFont="1" applyBorder="1" applyAlignment="1">
      <alignment vertical="center" wrapText="1"/>
    </xf>
    <xf numFmtId="0" fontId="79" fillId="0" borderId="7" xfId="0" applyFont="1" applyBorder="1" applyAlignment="1">
      <alignment horizontal="left" vertical="center" wrapText="1"/>
    </xf>
    <xf numFmtId="0" fontId="33" fillId="15" borderId="8" xfId="0" applyFont="1" applyFill="1" applyBorder="1" applyAlignment="1">
      <alignment horizontal="left" vertical="center" wrapText="1"/>
    </xf>
    <xf numFmtId="0" fontId="33" fillId="0" borderId="2" xfId="0" applyFont="1" applyBorder="1" applyAlignment="1">
      <alignment wrapText="1"/>
    </xf>
    <xf numFmtId="0" fontId="80" fillId="0" borderId="27" xfId="0" applyFont="1" applyBorder="1" applyAlignment="1">
      <alignment wrapText="1"/>
    </xf>
    <xf numFmtId="0" fontId="75" fillId="0" borderId="19" xfId="0" applyFont="1" applyBorder="1" applyAlignment="1">
      <alignment vertical="center" wrapText="1"/>
    </xf>
    <xf numFmtId="0" fontId="75" fillId="9" borderId="1" xfId="0" applyFont="1" applyFill="1" applyBorder="1" applyAlignment="1">
      <alignment horizontal="left" vertical="center" wrapText="1"/>
    </xf>
    <xf numFmtId="0" fontId="73" fillId="9" borderId="19" xfId="0" applyFont="1" applyFill="1" applyBorder="1" applyAlignment="1">
      <alignment vertical="center" wrapText="1"/>
    </xf>
    <xf numFmtId="0" fontId="33" fillId="0" borderId="53" xfId="0" applyFont="1" applyBorder="1" applyAlignment="1">
      <alignment vertical="center" wrapText="1"/>
    </xf>
    <xf numFmtId="0" fontId="73" fillId="23" borderId="0" xfId="0" applyFont="1" applyFill="1"/>
    <xf numFmtId="0" fontId="55" fillId="19" borderId="1" xfId="0" applyFont="1" applyFill="1" applyBorder="1" applyAlignment="1">
      <alignment horizontal="center" vertical="center" wrapText="1"/>
    </xf>
    <xf numFmtId="0" fontId="91" fillId="13" borderId="1" xfId="0" applyFont="1" applyFill="1" applyBorder="1" applyAlignment="1">
      <alignment vertical="center"/>
    </xf>
    <xf numFmtId="0" fontId="73" fillId="0" borderId="1" xfId="0" applyFont="1" applyBorder="1" applyAlignment="1">
      <alignment horizontal="center" vertical="center"/>
    </xf>
    <xf numFmtId="0" fontId="55" fillId="4" borderId="1" xfId="0" applyFont="1" applyFill="1" applyBorder="1"/>
    <xf numFmtId="0" fontId="73" fillId="0" borderId="7" xfId="0" applyFont="1" applyBorder="1" applyAlignment="1">
      <alignment horizontal="center" vertical="center"/>
    </xf>
    <xf numFmtId="0" fontId="55" fillId="4" borderId="14" xfId="0" applyFont="1" applyFill="1" applyBorder="1"/>
    <xf numFmtId="0" fontId="73" fillId="12" borderId="1" xfId="0" applyFont="1" applyFill="1" applyBorder="1" applyAlignment="1">
      <alignment horizontal="left" vertical="center" wrapText="1"/>
    </xf>
    <xf numFmtId="0" fontId="73" fillId="9" borderId="7" xfId="0" applyFont="1" applyFill="1" applyBorder="1" applyAlignment="1">
      <alignment horizontal="left" vertical="center" wrapText="1"/>
    </xf>
    <xf numFmtId="0" fontId="73" fillId="9" borderId="7" xfId="0" applyFont="1" applyFill="1" applyBorder="1" applyAlignment="1">
      <alignment horizontal="center" vertical="center" wrapText="1"/>
    </xf>
    <xf numFmtId="0" fontId="73" fillId="9" borderId="7" xfId="0" applyFont="1" applyFill="1" applyBorder="1" applyAlignment="1">
      <alignment horizontal="center" vertical="center"/>
    </xf>
    <xf numFmtId="0" fontId="73" fillId="14" borderId="1" xfId="0" applyFont="1" applyFill="1" applyBorder="1" applyAlignment="1">
      <alignment horizontal="left" vertical="center" wrapText="1"/>
    </xf>
    <xf numFmtId="0" fontId="73" fillId="15" borderId="1" xfId="0" applyFont="1" applyFill="1" applyBorder="1" applyAlignment="1">
      <alignment horizontal="left" vertical="center" wrapText="1"/>
    </xf>
    <xf numFmtId="0" fontId="73" fillId="28" borderId="1" xfId="0" applyFont="1" applyFill="1" applyBorder="1" applyAlignment="1">
      <alignment horizontal="left" vertical="center" wrapText="1"/>
    </xf>
    <xf numFmtId="0" fontId="73" fillId="0" borderId="18" xfId="0" applyFont="1" applyBorder="1" applyAlignment="1">
      <alignment horizontal="center" vertical="center"/>
    </xf>
    <xf numFmtId="0" fontId="73" fillId="17" borderId="1" xfId="0" applyFont="1" applyFill="1" applyBorder="1" applyAlignment="1">
      <alignment horizontal="left" vertical="center" wrapText="1"/>
    </xf>
    <xf numFmtId="0" fontId="73" fillId="0" borderId="5" xfId="0" applyFont="1" applyBorder="1" applyAlignment="1">
      <alignment horizontal="center" vertical="center"/>
    </xf>
    <xf numFmtId="0" fontId="93" fillId="4" borderId="1" xfId="0" applyFont="1" applyFill="1" applyBorder="1" applyAlignment="1">
      <alignment horizontal="left" vertical="center" wrapText="1"/>
    </xf>
    <xf numFmtId="0" fontId="94" fillId="18" borderId="27" xfId="0" applyFont="1" applyFill="1" applyBorder="1" applyAlignment="1">
      <alignment horizontal="center" vertical="center" wrapText="1"/>
    </xf>
    <xf numFmtId="0" fontId="94" fillId="18" borderId="27" xfId="0" applyFont="1" applyFill="1" applyBorder="1" applyAlignment="1">
      <alignment horizontal="center" vertical="center"/>
    </xf>
    <xf numFmtId="0" fontId="55" fillId="19" borderId="7" xfId="0" applyFont="1" applyFill="1" applyBorder="1" applyAlignment="1">
      <alignment horizontal="center" vertical="center" wrapText="1"/>
    </xf>
    <xf numFmtId="0" fontId="73" fillId="23" borderId="1" xfId="0" applyFont="1" applyFill="1" applyBorder="1" applyAlignment="1">
      <alignment horizontal="left" vertical="center" wrapText="1"/>
    </xf>
    <xf numFmtId="0" fontId="33" fillId="14" borderId="17" xfId="0" applyFont="1" applyFill="1" applyBorder="1" applyAlignment="1">
      <alignment horizontal="left" vertical="center" wrapText="1"/>
    </xf>
    <xf numFmtId="0" fontId="33" fillId="14" borderId="0" xfId="0" applyFont="1" applyFill="1" applyAlignment="1">
      <alignment horizontal="left" vertical="center" wrapText="1"/>
    </xf>
    <xf numFmtId="0" fontId="69" fillId="0" borderId="1" xfId="0" applyFont="1" applyBorder="1" applyAlignment="1">
      <alignment vertical="center" wrapText="1"/>
    </xf>
    <xf numFmtId="0" fontId="49" fillId="15" borderId="7" xfId="0" applyFont="1" applyFill="1" applyBorder="1" applyAlignment="1">
      <alignment horizontal="left" vertical="center" wrapText="1"/>
    </xf>
    <xf numFmtId="0" fontId="49" fillId="2" borderId="7" xfId="0" applyFont="1" applyFill="1" applyBorder="1" applyAlignment="1">
      <alignment horizontal="left" vertical="center" wrapText="1"/>
    </xf>
    <xf numFmtId="0" fontId="50" fillId="33" borderId="7" xfId="0" applyFont="1" applyFill="1" applyBorder="1" applyAlignment="1">
      <alignment horizontal="left" vertical="top" wrapText="1"/>
    </xf>
    <xf numFmtId="0" fontId="49" fillId="0" borderId="1" xfId="0" applyFont="1" applyBorder="1" applyAlignment="1">
      <alignment horizontal="left" vertical="center" wrapText="1"/>
    </xf>
    <xf numFmtId="0" fontId="49" fillId="0" borderId="7" xfId="0" applyFont="1" applyBorder="1" applyAlignment="1">
      <alignment horizontal="center" vertical="center" wrapText="1"/>
    </xf>
    <xf numFmtId="0" fontId="49" fillId="0" borderId="1" xfId="0" applyFont="1" applyBorder="1" applyAlignment="1">
      <alignment wrapText="1"/>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6" fillId="5" borderId="2" xfId="0" applyFont="1" applyFill="1" applyBorder="1" applyAlignment="1">
      <alignment vertical="center" wrapText="1"/>
    </xf>
    <xf numFmtId="0" fontId="57" fillId="32" borderId="0" xfId="0" applyFont="1" applyFill="1"/>
    <xf numFmtId="0" fontId="71" fillId="4" borderId="1" xfId="0" applyFont="1" applyFill="1" applyBorder="1" applyAlignment="1">
      <alignment vertical="center"/>
    </xf>
    <xf numFmtId="0" fontId="71" fillId="32" borderId="0" xfId="0" applyFont="1" applyFill="1"/>
    <xf numFmtId="0" fontId="100" fillId="9" borderId="7" xfId="0" applyFont="1" applyFill="1" applyBorder="1" applyAlignment="1">
      <alignment horizontal="center"/>
    </xf>
    <xf numFmtId="0" fontId="101" fillId="0" borderId="7" xfId="0" applyFont="1" applyBorder="1" applyAlignment="1">
      <alignment horizontal="center" vertical="center"/>
    </xf>
    <xf numFmtId="0" fontId="101" fillId="0" borderId="5" xfId="0" applyFont="1" applyBorder="1" applyAlignment="1">
      <alignment horizontal="center" vertical="center"/>
    </xf>
    <xf numFmtId="0" fontId="57" fillId="0" borderId="15" xfId="0" applyFont="1" applyBorder="1" applyAlignment="1">
      <alignment horizontal="left" vertical="center" wrapText="1"/>
    </xf>
    <xf numFmtId="0" fontId="57" fillId="18" borderId="1" xfId="0" applyFont="1" applyFill="1" applyBorder="1" applyAlignment="1">
      <alignment horizontal="center" vertical="center"/>
    </xf>
    <xf numFmtId="0" fontId="57" fillId="0" borderId="15" xfId="0" applyFont="1" applyBorder="1" applyAlignment="1">
      <alignment horizontal="left" vertical="center"/>
    </xf>
    <xf numFmtId="0" fontId="57" fillId="0" borderId="15" xfId="0" applyFont="1" applyBorder="1" applyAlignment="1">
      <alignment vertical="center" wrapText="1"/>
    </xf>
    <xf numFmtId="0" fontId="57" fillId="18" borderId="3" xfId="0" applyFont="1" applyFill="1" applyBorder="1" applyAlignment="1">
      <alignment horizontal="center" vertical="center" wrapText="1"/>
    </xf>
    <xf numFmtId="0" fontId="57" fillId="0" borderId="0" xfId="0" applyFont="1"/>
    <xf numFmtId="0" fontId="57" fillId="32" borderId="0" xfId="0" applyFont="1" applyFill="1" applyAlignment="1">
      <alignment vertical="center" wrapText="1"/>
    </xf>
    <xf numFmtId="0" fontId="57" fillId="0" borderId="1" xfId="0" applyFont="1" applyBorder="1" applyAlignment="1">
      <alignment vertical="center" wrapText="1"/>
    </xf>
    <xf numFmtId="0" fontId="57" fillId="32" borderId="0" xfId="0" applyFont="1" applyFill="1" applyAlignment="1">
      <alignment horizontal="left" vertical="center" wrapText="1"/>
    </xf>
    <xf numFmtId="0" fontId="56" fillId="21" borderId="1" xfId="0" applyFont="1" applyFill="1" applyBorder="1" applyAlignment="1">
      <alignment horizontal="center" vertical="center"/>
    </xf>
    <xf numFmtId="0" fontId="56" fillId="5"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102" fillId="0" borderId="1" xfId="0" applyFont="1" applyBorder="1" applyAlignment="1">
      <alignment vertical="center" wrapText="1"/>
    </xf>
    <xf numFmtId="0" fontId="56" fillId="13" borderId="1" xfId="0" applyFont="1" applyFill="1" applyBorder="1" applyAlignment="1">
      <alignment vertical="center"/>
    </xf>
    <xf numFmtId="0" fontId="57" fillId="23" borderId="0" xfId="0" applyFont="1" applyFill="1"/>
    <xf numFmtId="0" fontId="57" fillId="23" borderId="1" xfId="0" applyFont="1" applyFill="1" applyBorder="1"/>
    <xf numFmtId="0" fontId="99" fillId="13" borderId="1" xfId="0" applyFont="1" applyFill="1" applyBorder="1" applyAlignment="1">
      <alignment vertical="center"/>
    </xf>
    <xf numFmtId="0" fontId="57" fillId="9" borderId="1" xfId="0" applyFont="1" applyFill="1" applyBorder="1" applyAlignment="1">
      <alignment vertical="center"/>
    </xf>
    <xf numFmtId="0" fontId="99" fillId="13" borderId="1" xfId="0" applyFont="1" applyFill="1" applyBorder="1" applyAlignment="1">
      <alignment vertical="center" wrapText="1"/>
    </xf>
    <xf numFmtId="0" fontId="57" fillId="12" borderId="1" xfId="0" applyFont="1" applyFill="1" applyBorder="1" applyAlignment="1">
      <alignment horizontal="center" vertical="center" wrapText="1"/>
    </xf>
    <xf numFmtId="0" fontId="71" fillId="30" borderId="1" xfId="0" applyFont="1" applyFill="1" applyBorder="1" applyAlignment="1">
      <alignment vertical="center" wrapText="1"/>
    </xf>
    <xf numFmtId="0" fontId="57" fillId="0" borderId="1" xfId="0" applyFont="1" applyBorder="1"/>
    <xf numFmtId="0" fontId="57" fillId="0" borderId="1" xfId="0" applyFont="1" applyBorder="1" applyAlignment="1">
      <alignment wrapText="1"/>
    </xf>
    <xf numFmtId="0" fontId="103" fillId="9" borderId="1" xfId="0" applyFont="1" applyFill="1" applyBorder="1" applyAlignment="1">
      <alignment vertical="center"/>
    </xf>
    <xf numFmtId="0" fontId="105" fillId="9" borderId="1" xfId="0" applyFont="1" applyFill="1" applyBorder="1" applyAlignment="1">
      <alignment vertical="center"/>
    </xf>
    <xf numFmtId="0" fontId="33" fillId="18" borderId="2" xfId="0" applyFont="1" applyFill="1" applyBorder="1" applyAlignment="1">
      <alignment horizontal="center" vertical="center" wrapText="1"/>
    </xf>
    <xf numFmtId="0" fontId="73" fillId="9" borderId="1" xfId="0" applyFont="1" applyFill="1" applyBorder="1" applyAlignment="1">
      <alignment horizontal="left" vertical="center" wrapText="1"/>
    </xf>
    <xf numFmtId="0" fontId="73" fillId="0" borderId="7" xfId="0" applyFont="1" applyBorder="1" applyAlignment="1">
      <alignment horizontal="center" vertical="center" wrapText="1"/>
    </xf>
    <xf numFmtId="0" fontId="0" fillId="0" borderId="0" xfId="0" applyAlignment="1">
      <alignment vertical="center"/>
    </xf>
    <xf numFmtId="0" fontId="106" fillId="0" borderId="1" xfId="0" applyFont="1" applyBorder="1" applyAlignment="1">
      <alignment horizontal="center" vertical="center"/>
    </xf>
    <xf numFmtId="0" fontId="33" fillId="27" borderId="2" xfId="0" applyFont="1" applyFill="1" applyBorder="1" applyAlignment="1">
      <alignment horizontal="center" vertical="center"/>
    </xf>
    <xf numFmtId="164" fontId="33" fillId="27" borderId="3" xfId="0" applyNumberFormat="1" applyFont="1" applyFill="1" applyBorder="1" applyAlignment="1">
      <alignment horizontal="center" vertical="center"/>
    </xf>
    <xf numFmtId="0" fontId="107" fillId="9" borderId="1" xfId="0" applyFont="1" applyFill="1" applyBorder="1" applyAlignment="1">
      <alignment vertical="center"/>
    </xf>
    <xf numFmtId="0" fontId="57" fillId="18" borderId="8" xfId="0" applyFont="1" applyFill="1" applyBorder="1" applyAlignment="1">
      <alignment horizontal="left" vertical="center" wrapText="1"/>
    </xf>
    <xf numFmtId="0" fontId="57" fillId="18" borderId="1" xfId="0" applyFont="1" applyFill="1" applyBorder="1" applyAlignment="1">
      <alignment horizontal="left" vertical="center" wrapText="1"/>
    </xf>
    <xf numFmtId="0" fontId="24" fillId="9" borderId="24" xfId="0" applyFont="1" applyFill="1" applyBorder="1" applyAlignment="1">
      <alignment horizontal="left" vertical="center" wrapText="1"/>
    </xf>
    <xf numFmtId="0" fontId="24" fillId="9" borderId="23" xfId="0" applyFont="1" applyFill="1" applyBorder="1" applyAlignment="1">
      <alignment horizontal="left" vertical="center" wrapText="1"/>
    </xf>
    <xf numFmtId="0" fontId="20" fillId="9" borderId="24" xfId="0" applyFont="1" applyFill="1" applyBorder="1" applyAlignment="1">
      <alignment horizontal="left" vertical="center" wrapText="1"/>
    </xf>
    <xf numFmtId="0" fontId="20" fillId="9" borderId="23" xfId="0" applyFont="1" applyFill="1" applyBorder="1" applyAlignment="1">
      <alignment horizontal="left" vertical="center" wrapText="1"/>
    </xf>
    <xf numFmtId="0" fontId="63" fillId="3" borderId="1" xfId="0" applyFont="1" applyFill="1" applyBorder="1" applyAlignment="1">
      <alignment horizontal="left" vertical="center" wrapText="1"/>
    </xf>
    <xf numFmtId="0" fontId="59" fillId="4" borderId="0" xfId="0" applyFont="1" applyFill="1" applyAlignment="1">
      <alignment horizontal="center" vertical="center"/>
    </xf>
    <xf numFmtId="0" fontId="59" fillId="4" borderId="0" xfId="0" applyFont="1" applyFill="1" applyAlignment="1">
      <alignment horizontal="center" vertical="center" wrapText="1"/>
    </xf>
    <xf numFmtId="0" fontId="64" fillId="19" borderId="0" xfId="0" applyFont="1" applyFill="1" applyAlignment="1">
      <alignment horizontal="center" vertical="center"/>
    </xf>
    <xf numFmtId="0" fontId="58" fillId="4" borderId="0" xfId="0" applyFont="1" applyFill="1" applyAlignment="1">
      <alignment horizontal="center" vertical="center" wrapText="1"/>
    </xf>
    <xf numFmtId="0" fontId="62" fillId="9" borderId="1" xfId="0" applyFont="1" applyFill="1" applyBorder="1" applyAlignment="1">
      <alignment horizontal="center"/>
    </xf>
    <xf numFmtId="0" fontId="49" fillId="13" borderId="1" xfId="0" applyFont="1" applyFill="1" applyBorder="1" applyAlignment="1">
      <alignment horizontal="left" wrapText="1"/>
    </xf>
    <xf numFmtId="0" fontId="24" fillId="9" borderId="10" xfId="0" applyFont="1" applyFill="1" applyBorder="1" applyAlignment="1">
      <alignment horizontal="left" vertical="center" wrapText="1"/>
    </xf>
    <xf numFmtId="0" fontId="24" fillId="9" borderId="11" xfId="0" applyFont="1" applyFill="1" applyBorder="1" applyAlignment="1">
      <alignment horizontal="left" vertical="center" wrapText="1"/>
    </xf>
    <xf numFmtId="0" fontId="24" fillId="9" borderId="18" xfId="0" applyFont="1" applyFill="1" applyBorder="1" applyAlignment="1">
      <alignment horizontal="left" vertical="center" wrapText="1"/>
    </xf>
    <xf numFmtId="0" fontId="50" fillId="9" borderId="10" xfId="0" applyFont="1" applyFill="1" applyBorder="1" applyAlignment="1">
      <alignment horizontal="left" vertical="center" wrapText="1"/>
    </xf>
    <xf numFmtId="0" fontId="49" fillId="9" borderId="11" xfId="0" applyFont="1" applyFill="1" applyBorder="1" applyAlignment="1">
      <alignment horizontal="left" vertical="center" wrapText="1"/>
    </xf>
    <xf numFmtId="0" fontId="49" fillId="9" borderId="18" xfId="0" applyFont="1" applyFill="1" applyBorder="1" applyAlignment="1">
      <alignment horizontal="left" vertical="center" wrapText="1"/>
    </xf>
    <xf numFmtId="0" fontId="27" fillId="0" borderId="0" xfId="0" applyFont="1" applyAlignment="1">
      <alignment vertical="center" wrapText="1"/>
    </xf>
    <xf numFmtId="0" fontId="27" fillId="9" borderId="24" xfId="0" applyFont="1" applyFill="1" applyBorder="1" applyAlignment="1">
      <alignment horizontal="left" vertical="center" wrapText="1"/>
    </xf>
    <xf numFmtId="0" fontId="20" fillId="0" borderId="0" xfId="0" applyFont="1" applyAlignment="1">
      <alignment horizontal="left" vertical="center" wrapText="1"/>
    </xf>
    <xf numFmtId="0" fontId="20" fillId="9" borderId="45" xfId="0" applyFont="1" applyFill="1" applyBorder="1" applyAlignment="1">
      <alignment horizontal="left" vertical="center" wrapText="1"/>
    </xf>
    <xf numFmtId="0" fontId="20" fillId="9" borderId="47" xfId="0" applyFont="1" applyFill="1" applyBorder="1" applyAlignment="1">
      <alignment horizontal="left" vertical="center" wrapText="1"/>
    </xf>
    <xf numFmtId="0" fontId="57" fillId="13" borderId="1" xfId="0" applyFont="1" applyFill="1" applyBorder="1" applyAlignment="1">
      <alignment horizontal="left" vertical="center" wrapText="1"/>
    </xf>
    <xf numFmtId="0" fontId="57" fillId="0" borderId="2" xfId="0" applyFont="1" applyBorder="1" applyAlignment="1">
      <alignment horizontal="center" vertical="center"/>
    </xf>
    <xf numFmtId="0" fontId="57" fillId="0" borderId="15" xfId="0" applyFont="1" applyBorder="1" applyAlignment="1">
      <alignment horizontal="center" vertical="center"/>
    </xf>
    <xf numFmtId="0" fontId="57" fillId="0" borderId="3" xfId="0" applyFont="1" applyBorder="1" applyAlignment="1">
      <alignment horizontal="left" vertical="center" wrapText="1"/>
    </xf>
    <xf numFmtId="0" fontId="57" fillId="0" borderId="7" xfId="0" applyFont="1" applyBorder="1" applyAlignment="1">
      <alignment horizontal="left" vertical="center" wrapText="1"/>
    </xf>
    <xf numFmtId="0" fontId="57" fillId="0" borderId="8" xfId="0" applyFont="1" applyBorder="1" applyAlignment="1">
      <alignment horizontal="left" vertical="center" wrapText="1"/>
    </xf>
    <xf numFmtId="0" fontId="57" fillId="0" borderId="4" xfId="0" applyFont="1" applyBorder="1" applyAlignment="1">
      <alignment horizontal="left" vertical="center" wrapText="1"/>
    </xf>
    <xf numFmtId="0" fontId="57" fillId="0" borderId="10" xfId="0" applyFont="1" applyBorder="1" applyAlignment="1">
      <alignment horizontal="left" vertical="center" wrapText="1"/>
    </xf>
    <xf numFmtId="0" fontId="57" fillId="0" borderId="18" xfId="0" applyFont="1" applyBorder="1" applyAlignment="1">
      <alignment horizontal="left" vertical="center" wrapText="1"/>
    </xf>
    <xf numFmtId="0" fontId="56" fillId="5" borderId="2" xfId="0" applyFont="1" applyFill="1" applyBorder="1" applyAlignment="1">
      <alignment vertical="center" wrapText="1"/>
    </xf>
    <xf numFmtId="0" fontId="56" fillId="5" borderId="19" xfId="0" applyFont="1" applyFill="1" applyBorder="1" applyAlignment="1">
      <alignment vertical="center" wrapText="1"/>
    </xf>
    <xf numFmtId="0" fontId="56" fillId="5" borderId="15" xfId="0" applyFont="1" applyFill="1" applyBorder="1" applyAlignment="1">
      <alignment vertical="center" wrapText="1"/>
    </xf>
    <xf numFmtId="0" fontId="56" fillId="5" borderId="2" xfId="0" applyFont="1" applyFill="1" applyBorder="1" applyAlignment="1">
      <alignment horizontal="left" vertical="center" wrapText="1"/>
    </xf>
    <xf numFmtId="0" fontId="56" fillId="5" borderId="19" xfId="0" applyFont="1" applyFill="1" applyBorder="1" applyAlignment="1">
      <alignment horizontal="left" vertical="center" wrapText="1"/>
    </xf>
    <xf numFmtId="0" fontId="56" fillId="5" borderId="15" xfId="0" applyFont="1" applyFill="1" applyBorder="1" applyAlignment="1">
      <alignment horizontal="left" vertical="center" wrapText="1"/>
    </xf>
    <xf numFmtId="0" fontId="99" fillId="13" borderId="1" xfId="0" applyFont="1" applyFill="1" applyBorder="1" applyAlignment="1">
      <alignment horizontal="center" vertical="center" textRotation="90"/>
    </xf>
    <xf numFmtId="0" fontId="71" fillId="4" borderId="1" xfId="0" applyFont="1" applyFill="1" applyBorder="1" applyAlignment="1">
      <alignment horizontal="center"/>
    </xf>
    <xf numFmtId="0" fontId="57" fillId="0" borderId="5" xfId="0" applyFont="1" applyBorder="1" applyAlignment="1">
      <alignment horizontal="left" vertical="center" wrapText="1"/>
    </xf>
    <xf numFmtId="0" fontId="57" fillId="0" borderId="1" xfId="0" applyFont="1" applyBorder="1" applyAlignment="1">
      <alignment horizontal="left" vertical="center" wrapText="1"/>
    </xf>
    <xf numFmtId="0" fontId="57" fillId="22" borderId="8" xfId="0" applyFont="1" applyFill="1" applyBorder="1" applyAlignment="1">
      <alignment horizontal="left" vertical="center" wrapText="1"/>
    </xf>
    <xf numFmtId="0" fontId="57" fillId="22" borderId="4" xfId="0" applyFont="1" applyFill="1" applyBorder="1" applyAlignment="1">
      <alignment horizontal="left" vertical="center" wrapText="1"/>
    </xf>
    <xf numFmtId="0" fontId="32" fillId="9" borderId="0" xfId="0" applyFont="1" applyFill="1" applyAlignment="1">
      <alignment horizontal="center" vertical="center" wrapText="1"/>
    </xf>
    <xf numFmtId="0" fontId="66" fillId="0" borderId="1" xfId="0" applyFont="1" applyBorder="1" applyAlignment="1">
      <alignment horizontal="left" vertical="center" wrapText="1"/>
    </xf>
    <xf numFmtId="0" fontId="99" fillId="13" borderId="1" xfId="0" applyFont="1" applyFill="1" applyBorder="1" applyAlignment="1">
      <alignment horizontal="center" vertical="center" textRotation="89"/>
    </xf>
    <xf numFmtId="0" fontId="57" fillId="0" borderId="1" xfId="0" applyFont="1" applyBorder="1" applyAlignment="1">
      <alignment horizontal="center" vertical="center" wrapText="1"/>
    </xf>
    <xf numFmtId="0" fontId="66" fillId="13" borderId="2" xfId="0" applyFont="1" applyFill="1" applyBorder="1" applyAlignment="1">
      <alignment horizontal="left" vertical="center" wrapText="1"/>
    </xf>
    <xf numFmtId="0" fontId="66" fillId="13" borderId="19" xfId="0" applyFont="1" applyFill="1" applyBorder="1" applyAlignment="1">
      <alignment horizontal="left" vertical="center" wrapText="1"/>
    </xf>
    <xf numFmtId="0" fontId="66" fillId="13" borderId="15" xfId="0" applyFont="1" applyFill="1" applyBorder="1" applyAlignment="1">
      <alignment horizontal="left" vertical="center" wrapText="1"/>
    </xf>
    <xf numFmtId="0" fontId="66" fillId="13" borderId="1" xfId="0" applyFont="1" applyFill="1" applyBorder="1" applyAlignment="1">
      <alignment horizontal="left" vertical="center" wrapText="1"/>
    </xf>
    <xf numFmtId="0" fontId="56" fillId="13" borderId="1" xfId="0" applyFont="1" applyFill="1" applyBorder="1" applyAlignment="1">
      <alignment horizontal="center" vertical="center" wrapText="1"/>
    </xf>
    <xf numFmtId="0" fontId="71" fillId="4" borderId="10" xfId="0" applyFont="1" applyFill="1" applyBorder="1" applyAlignment="1">
      <alignment horizontal="center"/>
    </xf>
    <xf numFmtId="0" fontId="71" fillId="4" borderId="11" xfId="0" applyFont="1" applyFill="1" applyBorder="1" applyAlignment="1">
      <alignment horizontal="center"/>
    </xf>
    <xf numFmtId="0" fontId="56" fillId="5" borderId="2" xfId="0" applyFont="1" applyFill="1" applyBorder="1" applyAlignment="1">
      <alignment horizontal="center" vertical="center" wrapText="1"/>
    </xf>
    <xf numFmtId="0" fontId="56" fillId="5" borderId="19" xfId="0" applyFont="1" applyFill="1" applyBorder="1" applyAlignment="1">
      <alignment horizontal="center" vertical="center" wrapText="1"/>
    </xf>
    <xf numFmtId="0" fontId="56" fillId="5" borderId="15" xfId="0" applyFont="1" applyFill="1" applyBorder="1" applyAlignment="1">
      <alignment horizontal="center" vertical="center" wrapText="1"/>
    </xf>
    <xf numFmtId="0" fontId="57" fillId="0" borderId="1" xfId="0" applyFont="1" applyBorder="1" applyAlignment="1">
      <alignment horizontal="center" vertical="center"/>
    </xf>
    <xf numFmtId="0" fontId="56" fillId="5" borderId="1" xfId="0" applyFont="1" applyFill="1" applyBorder="1" applyAlignment="1">
      <alignment horizontal="center" vertical="center"/>
    </xf>
    <xf numFmtId="0" fontId="56" fillId="13" borderId="1" xfId="0" applyFont="1" applyFill="1" applyBorder="1" applyAlignment="1">
      <alignment horizontal="center" vertical="center"/>
    </xf>
    <xf numFmtId="0" fontId="71" fillId="4" borderId="14" xfId="0" applyFont="1" applyFill="1" applyBorder="1" applyAlignment="1">
      <alignment horizontal="center" vertical="center"/>
    </xf>
    <xf numFmtId="0" fontId="71" fillId="4" borderId="0" xfId="0" applyFont="1" applyFill="1" applyAlignment="1">
      <alignment horizontal="center" vertical="center"/>
    </xf>
    <xf numFmtId="0" fontId="57" fillId="9" borderId="1" xfId="0" applyFont="1" applyFill="1" applyBorder="1" applyAlignment="1">
      <alignment horizontal="center"/>
    </xf>
    <xf numFmtId="0" fontId="20"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0" fillId="9" borderId="3"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0" fillId="13" borderId="1" xfId="0" applyFill="1" applyBorder="1" applyAlignment="1">
      <alignment horizontal="center" vertical="center" textRotation="90" wrapText="1"/>
    </xf>
    <xf numFmtId="0" fontId="0" fillId="13" borderId="1" xfId="0" applyFill="1" applyBorder="1" applyAlignment="1">
      <alignment horizontal="center" vertical="center" wrapText="1"/>
    </xf>
    <xf numFmtId="0" fontId="6" fillId="31" borderId="1" xfId="0" applyFont="1" applyFill="1" applyBorder="1" applyAlignment="1">
      <alignment horizontal="center" vertical="center" wrapText="1"/>
    </xf>
    <xf numFmtId="0" fontId="0" fillId="5" borderId="1" xfId="0" applyFill="1" applyBorder="1" applyAlignment="1">
      <alignment horizontal="center" vertical="center" textRotation="90" wrapText="1"/>
    </xf>
    <xf numFmtId="0" fontId="0" fillId="5" borderId="1" xfId="0" applyFill="1" applyBorder="1" applyAlignment="1">
      <alignment horizontal="center" vertical="center" wrapText="1"/>
    </xf>
    <xf numFmtId="0" fontId="20" fillId="0" borderId="3" xfId="0" applyFont="1" applyBorder="1" applyAlignment="1">
      <alignment horizontal="left" vertical="center" wrapText="1"/>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14"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14" xfId="0" applyFont="1" applyBorder="1" applyAlignment="1">
      <alignment horizontal="left" vertical="center" wrapText="1"/>
    </xf>
    <xf numFmtId="0" fontId="24" fillId="0" borderId="0" xfId="0" applyFont="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0" fillId="0" borderId="1" xfId="0" applyFont="1" applyBorder="1" applyAlignment="1">
      <alignment horizontal="left" vertical="center" wrapText="1"/>
    </xf>
    <xf numFmtId="0" fontId="24" fillId="0" borderId="4" xfId="0" applyFont="1" applyBorder="1" applyAlignment="1">
      <alignment horizontal="left" vertical="center" wrapText="1"/>
    </xf>
    <xf numFmtId="0" fontId="24" fillId="0" borderId="18" xfId="0" applyFont="1" applyBorder="1" applyAlignment="1">
      <alignment horizontal="left" vertical="center" wrapText="1"/>
    </xf>
    <xf numFmtId="0" fontId="20" fillId="0" borderId="4" xfId="0" applyFont="1" applyBorder="1" applyAlignment="1">
      <alignment horizontal="left" vertical="center" wrapText="1"/>
    </xf>
    <xf numFmtId="0" fontId="20" fillId="0" borderId="6" xfId="0" applyFont="1" applyBorder="1" applyAlignment="1">
      <alignment horizontal="left" vertical="center" wrapText="1"/>
    </xf>
    <xf numFmtId="0" fontId="20" fillId="0" borderId="18" xfId="0" applyFont="1" applyBorder="1" applyAlignment="1">
      <alignment horizontal="left" vertical="center" wrapText="1"/>
    </xf>
    <xf numFmtId="0" fontId="24" fillId="0" borderId="0" xfId="0" applyFont="1" applyAlignment="1">
      <alignment wrapText="1"/>
    </xf>
    <xf numFmtId="0" fontId="24" fillId="0" borderId="6" xfId="0" applyFont="1" applyBorder="1" applyAlignment="1">
      <alignment horizontal="left" vertical="center" wrapText="1"/>
    </xf>
    <xf numFmtId="0" fontId="24" fillId="0" borderId="1" xfId="0" applyFont="1" applyBorder="1" applyAlignment="1">
      <alignment vertical="center" wrapText="1"/>
    </xf>
    <xf numFmtId="0" fontId="22" fillId="5" borderId="2" xfId="0" applyFont="1" applyFill="1" applyBorder="1" applyAlignment="1">
      <alignment horizontal="center" vertical="center"/>
    </xf>
    <xf numFmtId="0" fontId="22" fillId="5" borderId="19" xfId="0" applyFont="1" applyFill="1" applyBorder="1" applyAlignment="1">
      <alignment horizontal="center" vertical="center"/>
    </xf>
    <xf numFmtId="0" fontId="22" fillId="5" borderId="15" xfId="0" applyFont="1" applyFill="1" applyBorder="1" applyAlignment="1">
      <alignment horizontal="center" vertical="center"/>
    </xf>
    <xf numFmtId="0" fontId="22" fillId="5" borderId="3" xfId="0" applyFont="1" applyFill="1" applyBorder="1" applyAlignment="1">
      <alignment horizontal="center" vertical="center"/>
    </xf>
    <xf numFmtId="0" fontId="22" fillId="5" borderId="7" xfId="0" applyFont="1" applyFill="1" applyBorder="1" applyAlignment="1">
      <alignment horizontal="center" vertical="center"/>
    </xf>
    <xf numFmtId="0" fontId="22" fillId="5" borderId="8" xfId="0" applyFont="1" applyFill="1" applyBorder="1" applyAlignment="1">
      <alignment horizontal="center" vertical="center"/>
    </xf>
    <xf numFmtId="0" fontId="22" fillId="5" borderId="4" xfId="0" applyFont="1" applyFill="1" applyBorder="1" applyAlignment="1">
      <alignment horizontal="center" vertical="center"/>
    </xf>
    <xf numFmtId="0" fontId="22" fillId="5" borderId="10" xfId="0" applyFont="1" applyFill="1" applyBorder="1" applyAlignment="1">
      <alignment horizontal="center" vertical="center"/>
    </xf>
    <xf numFmtId="0" fontId="22" fillId="5" borderId="18" xfId="0" applyFont="1" applyFill="1" applyBorder="1" applyAlignment="1">
      <alignment horizontal="center" vertical="center"/>
    </xf>
    <xf numFmtId="0" fontId="19" fillId="19" borderId="0" xfId="0" applyFont="1" applyFill="1" applyAlignment="1">
      <alignment horizontal="center" vertical="center"/>
    </xf>
    <xf numFmtId="0" fontId="23" fillId="13" borderId="3" xfId="0" applyFont="1" applyFill="1" applyBorder="1" applyAlignment="1">
      <alignment horizontal="center" vertical="center"/>
    </xf>
    <xf numFmtId="0" fontId="18" fillId="19" borderId="2" xfId="0" applyFont="1" applyFill="1" applyBorder="1" applyAlignment="1">
      <alignment horizontal="center" vertical="center" wrapText="1"/>
    </xf>
    <xf numFmtId="0" fontId="18" fillId="19" borderId="15" xfId="0" applyFont="1" applyFill="1" applyBorder="1" applyAlignment="1">
      <alignment horizontal="center" vertical="center" wrapText="1"/>
    </xf>
    <xf numFmtId="0" fontId="20" fillId="12" borderId="25" xfId="0" applyFont="1" applyFill="1" applyBorder="1" applyAlignment="1">
      <alignment horizontal="left" vertical="center" wrapText="1"/>
    </xf>
    <xf numFmtId="0" fontId="20" fillId="12" borderId="21" xfId="0" applyFont="1" applyFill="1" applyBorder="1" applyAlignment="1">
      <alignment horizontal="left" vertical="center" wrapText="1"/>
    </xf>
    <xf numFmtId="0" fontId="20" fillId="12" borderId="16" xfId="0" applyFont="1" applyFill="1" applyBorder="1" applyAlignment="1">
      <alignment horizontal="left" vertical="center" wrapText="1"/>
    </xf>
    <xf numFmtId="0" fontId="20" fillId="25" borderId="26" xfId="0" applyFont="1" applyFill="1" applyBorder="1" applyAlignment="1">
      <alignment horizontal="center" vertical="center" wrapText="1"/>
    </xf>
    <xf numFmtId="0" fontId="20" fillId="25" borderId="22" xfId="0" applyFont="1" applyFill="1" applyBorder="1" applyAlignment="1">
      <alignment horizontal="center" vertical="center" wrapText="1"/>
    </xf>
    <xf numFmtId="0" fontId="20" fillId="25" borderId="20" xfId="0" applyFont="1" applyFill="1" applyBorder="1" applyAlignment="1">
      <alignment horizontal="center" vertical="center" wrapText="1"/>
    </xf>
    <xf numFmtId="0" fontId="2" fillId="25" borderId="3" xfId="0" applyFont="1" applyFill="1" applyBorder="1" applyAlignment="1">
      <alignment horizontal="center" vertical="center"/>
    </xf>
    <xf numFmtId="0" fontId="2" fillId="25" borderId="5" xfId="0" applyFont="1" applyFill="1" applyBorder="1" applyAlignment="1">
      <alignment horizontal="center" vertical="center"/>
    </xf>
    <xf numFmtId="0" fontId="2" fillId="25" borderId="7" xfId="0" applyFont="1" applyFill="1" applyBorder="1" applyAlignment="1">
      <alignment horizontal="center" vertical="center"/>
    </xf>
    <xf numFmtId="0" fontId="20" fillId="25" borderId="3" xfId="0" applyFont="1" applyFill="1" applyBorder="1" applyAlignment="1">
      <alignment vertical="center" wrapText="1"/>
    </xf>
    <xf numFmtId="0" fontId="20" fillId="25" borderId="5" xfId="0" applyFont="1" applyFill="1" applyBorder="1" applyAlignment="1">
      <alignment vertical="center" wrapText="1"/>
    </xf>
    <xf numFmtId="0" fontId="20" fillId="25" borderId="7" xfId="0" applyFont="1" applyFill="1" applyBorder="1" applyAlignment="1">
      <alignment vertical="center" wrapText="1"/>
    </xf>
    <xf numFmtId="2" fontId="33" fillId="0" borderId="5" xfId="0" applyNumberFormat="1" applyFont="1" applyBorder="1" applyAlignment="1">
      <alignment horizontal="center" vertical="center"/>
    </xf>
    <xf numFmtId="2" fontId="33" fillId="0" borderId="7" xfId="0" applyNumberFormat="1" applyFont="1" applyBorder="1" applyAlignment="1">
      <alignment horizontal="center" vertical="center"/>
    </xf>
    <xf numFmtId="0" fontId="36" fillId="2" borderId="5" xfId="0" applyFont="1" applyFill="1" applyBorder="1" applyAlignment="1">
      <alignment horizontal="center" vertical="center" wrapText="1"/>
    </xf>
    <xf numFmtId="0" fontId="30" fillId="0" borderId="3" xfId="0" applyFont="1" applyBorder="1" applyAlignment="1">
      <alignment horizontal="left" vertical="center" wrapText="1"/>
    </xf>
    <xf numFmtId="0" fontId="30" fillId="0" borderId="5" xfId="0" applyFont="1" applyBorder="1" applyAlignment="1">
      <alignment horizontal="left" vertical="center" wrapText="1"/>
    </xf>
    <xf numFmtId="0" fontId="30" fillId="0" borderId="7" xfId="0" applyFont="1" applyBorder="1" applyAlignment="1">
      <alignment horizontal="left" vertical="center" wrapText="1"/>
    </xf>
    <xf numFmtId="0" fontId="20" fillId="0" borderId="5"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0" fontId="20" fillId="25" borderId="3" xfId="0" applyFont="1" applyFill="1" applyBorder="1" applyAlignment="1">
      <alignment horizontal="left" vertical="center" wrapText="1"/>
    </xf>
    <xf numFmtId="0" fontId="20" fillId="25" borderId="5" xfId="0" applyFont="1" applyFill="1" applyBorder="1" applyAlignment="1">
      <alignment horizontal="left" vertical="center" wrapText="1"/>
    </xf>
    <xf numFmtId="0" fontId="20" fillId="25" borderId="7" xfId="0" applyFont="1" applyFill="1" applyBorder="1" applyAlignment="1">
      <alignment horizontal="left" vertical="center" wrapText="1"/>
    </xf>
    <xf numFmtId="0" fontId="20" fillId="12" borderId="26" xfId="0" applyFont="1" applyFill="1" applyBorder="1" applyAlignment="1">
      <alignment horizontal="center" vertical="center" wrapText="1"/>
    </xf>
    <xf numFmtId="0" fontId="20" fillId="12" borderId="20" xfId="0" applyFont="1" applyFill="1" applyBorder="1" applyAlignment="1">
      <alignment horizontal="center" vertical="center" wrapText="1"/>
    </xf>
    <xf numFmtId="0" fontId="20" fillId="14" borderId="17" xfId="0" applyFont="1" applyFill="1" applyBorder="1" applyAlignment="1">
      <alignment horizontal="center" vertical="center" wrapText="1"/>
    </xf>
    <xf numFmtId="0" fontId="20" fillId="14" borderId="0" xfId="0" applyFont="1" applyFill="1" applyAlignment="1">
      <alignment horizontal="center" vertical="center" wrapText="1"/>
    </xf>
    <xf numFmtId="2" fontId="33" fillId="9" borderId="3" xfId="0" applyNumberFormat="1" applyFont="1" applyFill="1" applyBorder="1" applyAlignment="1">
      <alignment horizontal="center" vertical="center"/>
    </xf>
    <xf numFmtId="2" fontId="33" fillId="9" borderId="5" xfId="0" applyNumberFormat="1" applyFont="1" applyFill="1" applyBorder="1" applyAlignment="1">
      <alignment horizontal="center" vertical="center"/>
    </xf>
    <xf numFmtId="2" fontId="33" fillId="9" borderId="7" xfId="0" applyNumberFormat="1" applyFont="1" applyFill="1" applyBorder="1" applyAlignment="1">
      <alignment horizontal="center" vertical="center"/>
    </xf>
    <xf numFmtId="0" fontId="36" fillId="3" borderId="3"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6" fillId="3" borderId="7" xfId="0" applyFont="1" applyFill="1" applyBorder="1" applyAlignment="1">
      <alignment horizontal="center" vertical="center" wrapText="1"/>
    </xf>
    <xf numFmtId="0" fontId="20" fillId="14" borderId="3" xfId="0" applyFont="1" applyFill="1" applyBorder="1" applyAlignment="1">
      <alignment horizontal="left" vertical="center" wrapText="1"/>
    </xf>
    <xf numFmtId="0" fontId="20" fillId="14" borderId="7" xfId="0" applyFont="1" applyFill="1" applyBorder="1" applyAlignment="1">
      <alignment horizontal="left" vertical="center" wrapText="1"/>
    </xf>
    <xf numFmtId="0" fontId="20" fillId="15" borderId="1" xfId="0" applyFont="1" applyFill="1" applyBorder="1" applyAlignment="1">
      <alignment horizontal="center" vertical="center" wrapText="1"/>
    </xf>
    <xf numFmtId="164" fontId="33" fillId="9" borderId="1" xfId="0" applyNumberFormat="1" applyFont="1" applyFill="1" applyBorder="1" applyAlignment="1">
      <alignment horizontal="center" vertical="center"/>
    </xf>
    <xf numFmtId="0" fontId="20" fillId="5" borderId="1" xfId="0" applyFont="1" applyFill="1" applyBorder="1" applyAlignment="1">
      <alignment horizontal="center" vertical="center" wrapText="1"/>
    </xf>
    <xf numFmtId="0" fontId="20" fillId="5" borderId="3" xfId="0" applyFont="1" applyFill="1" applyBorder="1" applyAlignment="1">
      <alignment horizontal="center" vertical="center" wrapText="1"/>
    </xf>
    <xf numFmtId="164" fontId="33" fillId="0" borderId="3" xfId="0" applyNumberFormat="1" applyFont="1" applyBorder="1" applyAlignment="1">
      <alignment horizontal="center" vertical="center"/>
    </xf>
    <xf numFmtId="164" fontId="33" fillId="0" borderId="5" xfId="0" applyNumberFormat="1" applyFont="1" applyBorder="1" applyAlignment="1">
      <alignment horizontal="center" vertical="center"/>
    </xf>
    <xf numFmtId="164" fontId="33" fillId="0" borderId="7" xfId="0" applyNumberFormat="1" applyFont="1" applyBorder="1" applyAlignment="1">
      <alignment horizontal="center" vertical="center"/>
    </xf>
    <xf numFmtId="0" fontId="36" fillId="2" borderId="3" xfId="0" applyFont="1" applyFill="1" applyBorder="1" applyAlignment="1">
      <alignment horizontal="center" vertical="center" wrapText="1"/>
    </xf>
    <xf numFmtId="0" fontId="36" fillId="2" borderId="7" xfId="0" applyFont="1" applyFill="1" applyBorder="1" applyAlignment="1">
      <alignment horizontal="center" vertical="center" wrapText="1"/>
    </xf>
    <xf numFmtId="0" fontId="20" fillId="5" borderId="1" xfId="0" applyFont="1" applyFill="1" applyBorder="1" applyAlignment="1">
      <alignment horizontal="left" vertical="center" wrapText="1"/>
    </xf>
    <xf numFmtId="0" fontId="20" fillId="5" borderId="3"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20" fillId="17" borderId="3" xfId="0" applyFont="1" applyFill="1" applyBorder="1" applyAlignment="1">
      <alignment horizontal="center" vertical="center" wrapText="1"/>
    </xf>
    <xf numFmtId="0" fontId="20" fillId="17" borderId="5" xfId="0" applyFont="1" applyFill="1" applyBorder="1" applyAlignment="1">
      <alignment horizontal="center" vertical="center" wrapText="1"/>
    </xf>
    <xf numFmtId="0" fontId="20" fillId="17" borderId="7" xfId="0" applyFont="1" applyFill="1" applyBorder="1" applyAlignment="1">
      <alignment horizontal="center" vertical="center" wrapText="1"/>
    </xf>
    <xf numFmtId="1" fontId="33" fillId="0" borderId="3" xfId="0" applyNumberFormat="1" applyFont="1" applyBorder="1" applyAlignment="1">
      <alignment horizontal="center" vertical="center"/>
    </xf>
    <xf numFmtId="1" fontId="33" fillId="0" borderId="5" xfId="0" applyNumberFormat="1" applyFont="1" applyBorder="1" applyAlignment="1">
      <alignment horizontal="center" vertical="center"/>
    </xf>
    <xf numFmtId="1" fontId="33" fillId="0" borderId="7" xfId="0" applyNumberFormat="1" applyFont="1" applyBorder="1" applyAlignment="1">
      <alignment horizontal="center" vertical="center"/>
    </xf>
    <xf numFmtId="0" fontId="36" fillId="16" borderId="3" xfId="0" applyFont="1" applyFill="1" applyBorder="1" applyAlignment="1">
      <alignment horizontal="center" vertical="center" wrapText="1"/>
    </xf>
    <xf numFmtId="0" fontId="36" fillId="16" borderId="5" xfId="0" applyFont="1" applyFill="1" applyBorder="1" applyAlignment="1">
      <alignment horizontal="center" vertical="center" wrapText="1"/>
    </xf>
    <xf numFmtId="0" fontId="36" fillId="16" borderId="7" xfId="0" applyFont="1" applyFill="1" applyBorder="1" applyAlignment="1">
      <alignment horizontal="center" vertical="center" wrapText="1"/>
    </xf>
    <xf numFmtId="0" fontId="18" fillId="20" borderId="0" xfId="0" applyFont="1" applyFill="1" applyAlignment="1">
      <alignment horizontal="right" vertical="center"/>
    </xf>
    <xf numFmtId="0" fontId="18" fillId="20" borderId="6" xfId="0" applyFont="1" applyFill="1" applyBorder="1" applyAlignment="1">
      <alignment horizontal="right" vertical="center"/>
    </xf>
    <xf numFmtId="0" fontId="23" fillId="0" borderId="1" xfId="0" applyFont="1" applyBorder="1" applyAlignment="1">
      <alignment horizontal="center" vertical="center" wrapText="1"/>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0" fillId="0" borderId="3" xfId="0" applyFont="1" applyBorder="1" applyAlignment="1">
      <alignment vertical="center" wrapText="1"/>
    </xf>
    <xf numFmtId="0" fontId="20" fillId="0" borderId="5" xfId="0" applyFont="1" applyBorder="1" applyAlignment="1">
      <alignment vertical="center" wrapText="1"/>
    </xf>
    <xf numFmtId="0" fontId="20" fillId="0" borderId="7" xfId="0" applyFont="1" applyBorder="1" applyAlignment="1">
      <alignmen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71" fillId="19" borderId="9" xfId="0" applyFont="1" applyFill="1" applyBorder="1" applyAlignment="1">
      <alignment horizontal="center" vertical="center"/>
    </xf>
    <xf numFmtId="0" fontId="57" fillId="12" borderId="1" xfId="0" applyFont="1" applyFill="1" applyBorder="1" applyAlignment="1">
      <alignment horizontal="center" vertical="center" wrapText="1"/>
    </xf>
    <xf numFmtId="0" fontId="57" fillId="14" borderId="1" xfId="0" applyFont="1" applyFill="1" applyBorder="1" applyAlignment="1">
      <alignment horizontal="center" vertical="center" wrapText="1"/>
    </xf>
    <xf numFmtId="0" fontId="57" fillId="15" borderId="1" xfId="0" applyFont="1" applyFill="1" applyBorder="1" applyAlignment="1">
      <alignment horizontal="center" vertical="center" wrapText="1"/>
    </xf>
    <xf numFmtId="0" fontId="57" fillId="28" borderId="1" xfId="0" applyFont="1" applyFill="1" applyBorder="1" applyAlignment="1">
      <alignment horizontal="center" vertical="center" wrapText="1"/>
    </xf>
    <xf numFmtId="0" fontId="57" fillId="17" borderId="1" xfId="0" applyFont="1" applyFill="1" applyBorder="1" applyAlignment="1">
      <alignment horizontal="center" vertical="center" wrapText="1"/>
    </xf>
    <xf numFmtId="0" fontId="95" fillId="9" borderId="1" xfId="0" applyFont="1" applyFill="1" applyBorder="1" applyAlignment="1">
      <alignment horizontal="left" vertical="center"/>
    </xf>
    <xf numFmtId="0" fontId="71" fillId="19" borderId="3" xfId="0" applyFont="1" applyFill="1" applyBorder="1" applyAlignment="1">
      <alignment horizontal="center" vertical="center" wrapText="1"/>
    </xf>
    <xf numFmtId="0" fontId="71" fillId="19" borderId="5" xfId="0" applyFont="1" applyFill="1" applyBorder="1" applyAlignment="1">
      <alignment horizontal="center" vertical="center" wrapText="1"/>
    </xf>
    <xf numFmtId="0" fontId="71" fillId="19" borderId="7" xfId="0" applyFont="1" applyFill="1" applyBorder="1" applyAlignment="1">
      <alignment horizontal="center" vertical="center" wrapText="1"/>
    </xf>
    <xf numFmtId="0" fontId="72" fillId="13" borderId="2" xfId="0" applyFont="1" applyFill="1" applyBorder="1" applyAlignment="1">
      <alignment horizontal="left" vertical="center" wrapText="1"/>
    </xf>
    <xf numFmtId="0" fontId="72" fillId="13" borderId="19" xfId="0" applyFont="1" applyFill="1" applyBorder="1" applyAlignment="1">
      <alignment horizontal="left" vertical="center" wrapText="1"/>
    </xf>
    <xf numFmtId="0" fontId="72" fillId="13" borderId="15" xfId="0" applyFont="1" applyFill="1" applyBorder="1" applyAlignment="1">
      <alignment horizontal="left" vertical="center" wrapText="1"/>
    </xf>
    <xf numFmtId="0" fontId="95" fillId="9" borderId="1" xfId="0" applyFont="1" applyFill="1" applyBorder="1" applyAlignment="1">
      <alignment horizontal="left"/>
    </xf>
    <xf numFmtId="0" fontId="71" fillId="4" borderId="1" xfId="0" applyFont="1" applyFill="1" applyBorder="1" applyAlignment="1">
      <alignment horizontal="left"/>
    </xf>
    <xf numFmtId="0" fontId="68" fillId="19" borderId="0" xfId="0" applyFont="1" applyFill="1" applyAlignment="1">
      <alignment horizontal="center" vertical="center"/>
    </xf>
    <xf numFmtId="0" fontId="33" fillId="15" borderId="3" xfId="0" applyFont="1" applyFill="1" applyBorder="1" applyAlignment="1">
      <alignment horizontal="center" vertical="center" wrapText="1"/>
    </xf>
    <xf numFmtId="0" fontId="33" fillId="15" borderId="5" xfId="0" applyFont="1" applyFill="1" applyBorder="1" applyAlignment="1">
      <alignment horizontal="center" vertical="center" wrapText="1"/>
    </xf>
    <xf numFmtId="0" fontId="33" fillId="15" borderId="7" xfId="0" applyFont="1" applyFill="1" applyBorder="1" applyAlignment="1">
      <alignment horizontal="center" vertical="center" wrapText="1"/>
    </xf>
    <xf numFmtId="0" fontId="33" fillId="23" borderId="19" xfId="0" applyFont="1" applyFill="1" applyBorder="1" applyAlignment="1">
      <alignment horizontal="left" vertical="center" wrapText="1"/>
    </xf>
    <xf numFmtId="0" fontId="33" fillId="23" borderId="15" xfId="0" applyFont="1" applyFill="1" applyBorder="1" applyAlignment="1">
      <alignment horizontal="left" vertical="center" wrapText="1"/>
    </xf>
    <xf numFmtId="0" fontId="18" fillId="20" borderId="0" xfId="0" applyFont="1" applyFill="1" applyAlignment="1">
      <alignment horizontal="center" vertical="center"/>
    </xf>
    <xf numFmtId="0" fontId="18" fillId="20" borderId="6" xfId="0" applyFont="1" applyFill="1" applyBorder="1" applyAlignment="1">
      <alignment horizontal="center" vertical="center"/>
    </xf>
    <xf numFmtId="0" fontId="33" fillId="0" borderId="1" xfId="0" applyFont="1" applyBorder="1" applyAlignment="1">
      <alignment horizontal="left" vertical="center" wrapText="1"/>
    </xf>
    <xf numFmtId="0" fontId="74" fillId="9" borderId="1" xfId="0" applyFont="1" applyFill="1" applyBorder="1" applyAlignment="1">
      <alignment horizontal="center" vertical="center" wrapText="1"/>
    </xf>
    <xf numFmtId="0" fontId="33" fillId="0" borderId="9" xfId="0" applyFont="1" applyBorder="1" applyAlignment="1">
      <alignment horizontal="left" vertical="center" wrapText="1"/>
    </xf>
    <xf numFmtId="0" fontId="33" fillId="0" borderId="0" xfId="0" applyFont="1" applyAlignment="1">
      <alignment horizontal="left" vertical="center" wrapText="1"/>
    </xf>
    <xf numFmtId="0" fontId="33" fillId="0" borderId="11" xfId="0" applyFont="1" applyBorder="1" applyAlignment="1">
      <alignment horizontal="left" vertical="center" wrapText="1"/>
    </xf>
    <xf numFmtId="0" fontId="33" fillId="0" borderId="9" xfId="0" applyFont="1" applyBorder="1" applyAlignment="1">
      <alignment horizontal="center" vertical="center" wrapText="1"/>
    </xf>
    <xf numFmtId="0" fontId="33" fillId="0" borderId="0" xfId="0" applyFont="1" applyAlignment="1">
      <alignment horizontal="center" vertical="center" wrapText="1"/>
    </xf>
    <xf numFmtId="0" fontId="33" fillId="0" borderId="11" xfId="0" applyFont="1" applyBorder="1" applyAlignment="1">
      <alignment horizontal="center" vertical="center" wrapText="1"/>
    </xf>
    <xf numFmtId="1" fontId="33" fillId="0" borderId="1" xfId="0" applyNumberFormat="1" applyFont="1" applyBorder="1" applyAlignment="1">
      <alignment horizontal="center" vertical="center" wrapText="1"/>
    </xf>
    <xf numFmtId="0" fontId="78" fillId="0" borderId="3" xfId="1" applyFont="1" applyBorder="1" applyAlignment="1">
      <alignment horizontal="center" vertical="center" wrapText="1"/>
    </xf>
    <xf numFmtId="0" fontId="78" fillId="0" borderId="5" xfId="1" applyFont="1" applyBorder="1" applyAlignment="1">
      <alignment horizontal="center" vertical="center" wrapText="1"/>
    </xf>
    <xf numFmtId="0" fontId="78" fillId="0" borderId="7" xfId="1" applyFont="1" applyBorder="1" applyAlignment="1">
      <alignment horizontal="center" vertical="center" wrapText="1"/>
    </xf>
    <xf numFmtId="0" fontId="33" fillId="17" borderId="1" xfId="0" applyFont="1" applyFill="1" applyBorder="1" applyAlignment="1">
      <alignment horizontal="center" vertical="center" wrapText="1"/>
    </xf>
    <xf numFmtId="0" fontId="33" fillId="17" borderId="8" xfId="0" applyFont="1" applyFill="1" applyBorder="1" applyAlignment="1">
      <alignment horizontal="center" vertical="center" wrapText="1"/>
    </xf>
    <xf numFmtId="0" fontId="33" fillId="17" borderId="14" xfId="0" applyFont="1" applyFill="1" applyBorder="1" applyAlignment="1">
      <alignment horizontal="center" vertical="center" wrapText="1"/>
    </xf>
    <xf numFmtId="0" fontId="33" fillId="17" borderId="10" xfId="0" applyFont="1" applyFill="1" applyBorder="1" applyAlignment="1">
      <alignment horizontal="center" vertical="center" wrapText="1"/>
    </xf>
    <xf numFmtId="0" fontId="33" fillId="9" borderId="40" xfId="0" applyFont="1" applyFill="1" applyBorder="1" applyAlignment="1">
      <alignment horizontal="center" vertical="center" wrapText="1"/>
    </xf>
    <xf numFmtId="0" fontId="33" fillId="9" borderId="41" xfId="0" applyFont="1" applyFill="1" applyBorder="1" applyAlignment="1">
      <alignment horizontal="center" vertical="center" wrapText="1"/>
    </xf>
    <xf numFmtId="0" fontId="33" fillId="9" borderId="42" xfId="0" applyFont="1" applyFill="1" applyBorder="1" applyAlignment="1">
      <alignment horizontal="center" vertical="center" wrapText="1"/>
    </xf>
    <xf numFmtId="1" fontId="33" fillId="0" borderId="1" xfId="0" applyNumberFormat="1" applyFont="1" applyBorder="1" applyAlignment="1">
      <alignment horizontal="center" vertical="center"/>
    </xf>
    <xf numFmtId="0" fontId="33" fillId="0" borderId="4" xfId="0" applyFont="1" applyBorder="1" applyAlignment="1">
      <alignment horizontal="center" vertical="center"/>
    </xf>
    <xf numFmtId="0" fontId="33" fillId="0" borderId="6" xfId="0" applyFont="1" applyBorder="1" applyAlignment="1">
      <alignment horizontal="center" vertical="center"/>
    </xf>
    <xf numFmtId="0" fontId="33" fillId="0" borderId="18" xfId="0" applyFont="1" applyBorder="1" applyAlignment="1">
      <alignment horizontal="center" vertical="center"/>
    </xf>
    <xf numFmtId="0" fontId="33" fillId="0" borderId="3" xfId="0" applyFont="1" applyBorder="1" applyAlignment="1">
      <alignment vertical="center" wrapText="1"/>
    </xf>
    <xf numFmtId="0" fontId="33" fillId="0" borderId="5" xfId="0" applyFont="1" applyBorder="1" applyAlignment="1">
      <alignment vertical="center" wrapText="1"/>
    </xf>
    <xf numFmtId="0" fontId="33" fillId="0" borderId="7" xfId="0" applyFont="1" applyBorder="1" applyAlignment="1">
      <alignment vertical="center" wrapText="1"/>
    </xf>
    <xf numFmtId="0" fontId="73" fillId="0" borderId="3" xfId="0" applyFont="1" applyBorder="1" applyAlignment="1">
      <alignment vertical="center" wrapText="1"/>
    </xf>
    <xf numFmtId="0" fontId="73" fillId="0" borderId="5" xfId="0" applyFont="1" applyBorder="1" applyAlignment="1">
      <alignment vertical="center" wrapText="1"/>
    </xf>
    <xf numFmtId="0" fontId="73" fillId="0" borderId="7" xfId="0" applyFont="1" applyBorder="1" applyAlignment="1">
      <alignment vertical="center" wrapText="1"/>
    </xf>
    <xf numFmtId="0" fontId="17" fillId="29" borderId="3" xfId="0" applyFont="1" applyFill="1" applyBorder="1" applyAlignment="1">
      <alignment horizontal="center" vertical="center"/>
    </xf>
    <xf numFmtId="0" fontId="33" fillId="28" borderId="1" xfId="0" applyFont="1" applyFill="1" applyBorder="1" applyAlignment="1">
      <alignment horizontal="center" vertical="center" wrapText="1"/>
    </xf>
    <xf numFmtId="0" fontId="33" fillId="28" borderId="3" xfId="0" applyFont="1" applyFill="1" applyBorder="1" applyAlignment="1">
      <alignment horizontal="center" vertical="center" wrapText="1"/>
    </xf>
    <xf numFmtId="0" fontId="33" fillId="12" borderId="39" xfId="0" applyFont="1" applyFill="1" applyBorder="1" applyAlignment="1">
      <alignment horizontal="left" vertical="center" wrapText="1"/>
    </xf>
    <xf numFmtId="0" fontId="33" fillId="12" borderId="38" xfId="0" applyFont="1" applyFill="1" applyBorder="1" applyAlignment="1">
      <alignment horizontal="left" vertical="center" wrapText="1"/>
    </xf>
    <xf numFmtId="2" fontId="33" fillId="0" borderId="3" xfId="0" applyNumberFormat="1" applyFont="1" applyBorder="1" applyAlignment="1">
      <alignment horizontal="center" vertical="center"/>
    </xf>
    <xf numFmtId="2" fontId="33" fillId="0" borderId="3" xfId="0" applyNumberFormat="1" applyFont="1" applyBorder="1" applyAlignment="1">
      <alignment horizontal="center" vertical="center" wrapText="1"/>
    </xf>
    <xf numFmtId="2" fontId="33" fillId="0" borderId="7" xfId="0" applyNumberFormat="1" applyFont="1" applyBorder="1" applyAlignment="1">
      <alignment horizontal="center" vertical="center" wrapText="1"/>
    </xf>
    <xf numFmtId="0" fontId="44" fillId="13" borderId="2" xfId="0" applyFont="1" applyFill="1" applyBorder="1" applyAlignment="1">
      <alignment horizontal="left" vertical="center" wrapText="1"/>
    </xf>
    <xf numFmtId="0" fontId="44" fillId="13" borderId="19" xfId="0" applyFont="1" applyFill="1" applyBorder="1" applyAlignment="1">
      <alignment horizontal="left" vertical="center" wrapText="1"/>
    </xf>
    <xf numFmtId="0" fontId="44" fillId="13" borderId="15" xfId="0" applyFont="1" applyFill="1" applyBorder="1" applyAlignment="1">
      <alignment horizontal="left" vertical="center" wrapText="1"/>
    </xf>
    <xf numFmtId="0" fontId="33" fillId="12" borderId="9" xfId="0" applyFont="1" applyFill="1" applyBorder="1" applyAlignment="1">
      <alignment horizontal="center" vertical="center" wrapText="1"/>
    </xf>
    <xf numFmtId="0" fontId="33" fillId="12" borderId="0" xfId="0" applyFont="1" applyFill="1" applyAlignment="1">
      <alignment horizontal="center" vertical="center" wrapText="1"/>
    </xf>
    <xf numFmtId="0" fontId="33" fillId="12" borderId="57" xfId="0" applyFont="1" applyFill="1" applyBorder="1" applyAlignment="1">
      <alignment horizontal="center" vertical="center" wrapText="1"/>
    </xf>
    <xf numFmtId="0" fontId="74" fillId="9" borderId="3" xfId="0" applyFont="1" applyFill="1" applyBorder="1" applyAlignment="1">
      <alignment horizontal="center" vertical="center" wrapText="1"/>
    </xf>
    <xf numFmtId="0" fontId="74" fillId="9" borderId="5" xfId="0" applyFont="1" applyFill="1" applyBorder="1" applyAlignment="1">
      <alignment horizontal="center" vertical="center" wrapText="1"/>
    </xf>
    <xf numFmtId="0" fontId="74" fillId="9" borderId="7" xfId="0" applyFont="1" applyFill="1" applyBorder="1" applyAlignment="1">
      <alignment horizontal="center" vertical="center" wrapText="1"/>
    </xf>
    <xf numFmtId="0" fontId="33" fillId="28" borderId="1" xfId="0" applyFont="1" applyFill="1" applyBorder="1" applyAlignment="1">
      <alignment horizontal="left" vertical="center" wrapText="1"/>
    </xf>
    <xf numFmtId="0" fontId="33" fillId="28" borderId="3" xfId="0" applyFont="1" applyFill="1" applyBorder="1" applyAlignment="1">
      <alignment horizontal="left" vertical="center" wrapText="1"/>
    </xf>
    <xf numFmtId="0" fontId="33" fillId="17" borderId="1" xfId="0" applyFont="1" applyFill="1" applyBorder="1" applyAlignment="1">
      <alignment horizontal="left" vertical="center" wrapText="1"/>
    </xf>
    <xf numFmtId="0" fontId="97" fillId="0" borderId="1" xfId="0" applyFont="1" applyBorder="1" applyAlignment="1">
      <alignment horizontal="left" vertical="center" wrapText="1"/>
    </xf>
    <xf numFmtId="0" fontId="33" fillId="12" borderId="9" xfId="0" applyFont="1" applyFill="1" applyBorder="1" applyAlignment="1">
      <alignment horizontal="left" vertical="center" wrapText="1"/>
    </xf>
    <xf numFmtId="0" fontId="33" fillId="12" borderId="0" xfId="0" applyFont="1" applyFill="1" applyAlignment="1">
      <alignment horizontal="left" vertical="center" wrapText="1"/>
    </xf>
    <xf numFmtId="0" fontId="33" fillId="12" borderId="57" xfId="0" applyFont="1" applyFill="1" applyBorder="1" applyAlignment="1">
      <alignment horizontal="left" vertical="center" wrapText="1"/>
    </xf>
    <xf numFmtId="0" fontId="33" fillId="15" borderId="3" xfId="0" applyFont="1" applyFill="1" applyBorder="1" applyAlignment="1">
      <alignment horizontal="left" vertical="center" wrapText="1"/>
    </xf>
    <xf numFmtId="0" fontId="33" fillId="15" borderId="5" xfId="0" applyFont="1" applyFill="1" applyBorder="1" applyAlignment="1">
      <alignment horizontal="left" vertical="center" wrapText="1"/>
    </xf>
    <xf numFmtId="0" fontId="33" fillId="15" borderId="7" xfId="0" applyFont="1" applyFill="1" applyBorder="1" applyAlignment="1">
      <alignment horizontal="left" vertical="center" wrapText="1"/>
    </xf>
    <xf numFmtId="0" fontId="44" fillId="13" borderId="2" xfId="0" applyFont="1" applyFill="1" applyBorder="1" applyAlignment="1">
      <alignment horizontal="center" vertical="center" wrapText="1"/>
    </xf>
    <xf numFmtId="0" fontId="44" fillId="13" borderId="19" xfId="0" applyFont="1" applyFill="1" applyBorder="1" applyAlignment="1">
      <alignment horizontal="center" vertical="center" wrapText="1"/>
    </xf>
    <xf numFmtId="0" fontId="44" fillId="13" borderId="15" xfId="0" applyFont="1" applyFill="1" applyBorder="1" applyAlignment="1">
      <alignment horizontal="center" vertical="center" wrapText="1"/>
    </xf>
    <xf numFmtId="0" fontId="73" fillId="17" borderId="1" xfId="0" applyFont="1" applyFill="1" applyBorder="1" applyAlignment="1">
      <alignment horizontal="center" vertical="center" wrapText="1"/>
    </xf>
    <xf numFmtId="0" fontId="73" fillId="9" borderId="3" xfId="0" applyFont="1" applyFill="1" applyBorder="1" applyAlignment="1">
      <alignment horizontal="center" vertical="center" wrapText="1"/>
    </xf>
    <xf numFmtId="0" fontId="73" fillId="9" borderId="7" xfId="0" applyFont="1" applyFill="1" applyBorder="1" applyAlignment="1">
      <alignment horizontal="center" vertical="center" wrapText="1"/>
    </xf>
    <xf numFmtId="0" fontId="73" fillId="9" borderId="27" xfId="0" applyFont="1" applyFill="1" applyBorder="1" applyAlignment="1">
      <alignment horizontal="center" vertical="center" wrapText="1"/>
    </xf>
    <xf numFmtId="0" fontId="73" fillId="9" borderId="40" xfId="0" applyFont="1" applyFill="1" applyBorder="1" applyAlignment="1">
      <alignment horizontal="center" vertical="center" wrapText="1"/>
    </xf>
    <xf numFmtId="0" fontId="73" fillId="9" borderId="3" xfId="0" applyFont="1" applyFill="1" applyBorder="1" applyAlignment="1">
      <alignment horizontal="center" vertical="center"/>
    </xf>
    <xf numFmtId="0" fontId="73" fillId="9" borderId="52" xfId="0" applyFont="1" applyFill="1" applyBorder="1" applyAlignment="1">
      <alignment horizontal="center" vertical="center"/>
    </xf>
    <xf numFmtId="0" fontId="33" fillId="0" borderId="2"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5" xfId="0" applyFont="1" applyBorder="1" applyAlignment="1">
      <alignment horizontal="center" vertical="center" wrapText="1"/>
    </xf>
    <xf numFmtId="0" fontId="33" fillId="9" borderId="44" xfId="0" applyFont="1" applyFill="1" applyBorder="1" applyAlignment="1">
      <alignment horizontal="center" vertical="center" wrapText="1"/>
    </xf>
    <xf numFmtId="0" fontId="33" fillId="9" borderId="27"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73" fillId="15" borderId="1" xfId="0" applyFont="1" applyFill="1" applyBorder="1" applyAlignment="1">
      <alignment horizontal="center" vertical="center" wrapText="1"/>
    </xf>
    <xf numFmtId="0" fontId="73" fillId="9" borderId="5" xfId="0" applyFont="1" applyFill="1" applyBorder="1" applyAlignment="1">
      <alignment horizontal="center" vertical="center" wrapText="1"/>
    </xf>
    <xf numFmtId="0" fontId="73" fillId="9" borderId="58" xfId="0" applyFont="1" applyFill="1" applyBorder="1" applyAlignment="1">
      <alignment horizontal="center" vertical="center" wrapText="1"/>
    </xf>
    <xf numFmtId="0" fontId="73" fillId="9" borderId="52" xfId="0" applyFont="1" applyFill="1" applyBorder="1" applyAlignment="1">
      <alignment horizontal="center" vertical="center" wrapText="1"/>
    </xf>
    <xf numFmtId="0" fontId="73" fillId="9" borderId="5" xfId="0" applyFont="1" applyFill="1" applyBorder="1" applyAlignment="1">
      <alignment horizontal="center" vertical="center"/>
    </xf>
    <xf numFmtId="0" fontId="73" fillId="9" borderId="7" xfId="0" applyFont="1" applyFill="1" applyBorder="1" applyAlignment="1">
      <alignment horizontal="center" vertical="center"/>
    </xf>
    <xf numFmtId="0" fontId="73" fillId="28" borderId="4" xfId="0" applyFont="1" applyFill="1" applyBorder="1" applyAlignment="1">
      <alignment horizontal="center" vertical="center" wrapText="1"/>
    </xf>
    <xf numFmtId="0" fontId="73" fillId="28" borderId="6" xfId="0" applyFont="1" applyFill="1" applyBorder="1" applyAlignment="1">
      <alignment horizontal="center" vertical="center" wrapText="1"/>
    </xf>
    <xf numFmtId="0" fontId="73" fillId="28" borderId="18" xfId="0" applyFont="1" applyFill="1" applyBorder="1" applyAlignment="1">
      <alignment horizontal="center" vertical="center" wrapText="1"/>
    </xf>
    <xf numFmtId="0" fontId="73" fillId="12" borderId="4" xfId="0" applyFont="1" applyFill="1" applyBorder="1" applyAlignment="1">
      <alignment horizontal="center" vertical="center" wrapText="1"/>
    </xf>
    <xf numFmtId="0" fontId="73" fillId="12" borderId="6" xfId="0" applyFont="1" applyFill="1" applyBorder="1" applyAlignment="1">
      <alignment horizontal="center" vertical="center" wrapText="1"/>
    </xf>
    <xf numFmtId="0" fontId="73" fillId="12" borderId="18" xfId="0" applyFont="1" applyFill="1" applyBorder="1" applyAlignment="1">
      <alignment horizontal="center" vertical="center" wrapText="1"/>
    </xf>
    <xf numFmtId="0" fontId="73" fillId="14" borderId="4" xfId="0" applyFont="1" applyFill="1" applyBorder="1" applyAlignment="1">
      <alignment horizontal="center" vertical="center" wrapText="1"/>
    </xf>
    <xf numFmtId="0" fontId="73" fillId="14" borderId="6" xfId="0" applyFont="1" applyFill="1" applyBorder="1" applyAlignment="1">
      <alignment horizontal="center" vertical="center" wrapText="1"/>
    </xf>
    <xf numFmtId="0" fontId="65" fillId="9" borderId="3" xfId="0" applyFont="1" applyFill="1" applyBorder="1" applyAlignment="1">
      <alignment horizontal="center" vertical="center" wrapText="1"/>
    </xf>
    <xf numFmtId="0" fontId="65" fillId="9" borderId="5" xfId="0" applyFont="1" applyFill="1" applyBorder="1" applyAlignment="1">
      <alignment horizontal="center" vertical="center" wrapText="1"/>
    </xf>
    <xf numFmtId="0" fontId="65" fillId="9" borderId="7" xfId="0" applyFont="1" applyFill="1" applyBorder="1" applyAlignment="1">
      <alignment horizontal="center" vertical="center" wrapText="1"/>
    </xf>
    <xf numFmtId="0" fontId="33" fillId="15" borderId="1" xfId="0" applyFont="1" applyFill="1" applyBorder="1" applyAlignment="1">
      <alignment horizontal="center" vertical="center" wrapText="1"/>
    </xf>
    <xf numFmtId="0" fontId="33" fillId="14" borderId="4" xfId="0" applyFont="1" applyFill="1" applyBorder="1" applyAlignment="1">
      <alignment horizontal="center" vertical="center" wrapText="1"/>
    </xf>
    <xf numFmtId="0" fontId="33" fillId="14" borderId="6" xfId="0" applyFont="1" applyFill="1" applyBorder="1" applyAlignment="1">
      <alignment horizontal="center" vertical="center" wrapText="1"/>
    </xf>
    <xf numFmtId="0" fontId="61" fillId="13" borderId="1" xfId="0" applyFont="1" applyFill="1" applyBorder="1" applyAlignment="1">
      <alignment horizontal="left" vertical="center" wrapText="1"/>
    </xf>
    <xf numFmtId="0" fontId="17" fillId="19" borderId="2" xfId="0" applyFont="1" applyFill="1" applyBorder="1" applyAlignment="1">
      <alignment horizontal="left" vertical="center" wrapText="1"/>
    </xf>
    <xf numFmtId="0" fontId="17" fillId="19" borderId="15" xfId="0" applyFont="1" applyFill="1" applyBorder="1" applyAlignment="1">
      <alignment horizontal="left" vertical="center" wrapText="1"/>
    </xf>
    <xf numFmtId="0" fontId="55" fillId="19" borderId="2" xfId="0" applyFont="1" applyFill="1" applyBorder="1" applyAlignment="1">
      <alignment horizontal="left" vertical="center" wrapText="1"/>
    </xf>
    <xf numFmtId="0" fontId="55" fillId="19" borderId="15" xfId="0" applyFont="1" applyFill="1" applyBorder="1" applyAlignment="1">
      <alignment horizontal="left" vertical="center" wrapText="1"/>
    </xf>
    <xf numFmtId="0" fontId="104" fillId="9" borderId="1" xfId="0" applyFont="1" applyFill="1" applyBorder="1" applyAlignment="1">
      <alignment horizontal="left"/>
    </xf>
    <xf numFmtId="0" fontId="104" fillId="9" borderId="2" xfId="0" applyFont="1" applyFill="1" applyBorder="1" applyAlignment="1">
      <alignment horizontal="left"/>
    </xf>
    <xf numFmtId="0" fontId="104" fillId="9" borderId="15" xfId="0" applyFont="1" applyFill="1" applyBorder="1" applyAlignment="1">
      <alignment horizontal="left"/>
    </xf>
    <xf numFmtId="0" fontId="33" fillId="9" borderId="58" xfId="0" applyFont="1" applyFill="1" applyBorder="1" applyAlignment="1">
      <alignment horizontal="center" vertical="center" wrapText="1"/>
    </xf>
    <xf numFmtId="0" fontId="33" fillId="9" borderId="5" xfId="0" applyFont="1" applyFill="1" applyBorder="1" applyAlignment="1">
      <alignment horizontal="center" vertical="center" wrapText="1"/>
    </xf>
    <xf numFmtId="0" fontId="33" fillId="9" borderId="52" xfId="0" applyFont="1" applyFill="1" applyBorder="1" applyAlignment="1">
      <alignment horizontal="center" vertical="center" wrapText="1"/>
    </xf>
    <xf numFmtId="0" fontId="33" fillId="9" borderId="3" xfId="0" applyFont="1" applyFill="1" applyBorder="1" applyAlignment="1">
      <alignment horizontal="center" vertical="center"/>
    </xf>
    <xf numFmtId="0" fontId="33" fillId="9" borderId="5" xfId="0" applyFont="1" applyFill="1" applyBorder="1" applyAlignment="1">
      <alignment horizontal="center" vertical="center"/>
    </xf>
    <xf numFmtId="0" fontId="33" fillId="9" borderId="7" xfId="0" applyFont="1" applyFill="1" applyBorder="1" applyAlignment="1">
      <alignment horizontal="center" vertical="center"/>
    </xf>
    <xf numFmtId="0" fontId="37" fillId="19" borderId="0" xfId="0" applyFont="1" applyFill="1" applyAlignment="1">
      <alignment horizontal="center" vertical="center"/>
    </xf>
    <xf numFmtId="0" fontId="17" fillId="30" borderId="27" xfId="0" applyFont="1" applyFill="1" applyBorder="1" applyAlignment="1">
      <alignment horizontal="center" vertical="center" wrapText="1"/>
    </xf>
    <xf numFmtId="0" fontId="23" fillId="18" borderId="40" xfId="0" applyFont="1" applyFill="1" applyBorder="1" applyAlignment="1">
      <alignment horizontal="center" vertical="center" wrapText="1"/>
    </xf>
    <xf numFmtId="0" fontId="23" fillId="18" borderId="41" xfId="0" applyFont="1" applyFill="1" applyBorder="1" applyAlignment="1">
      <alignment horizontal="center" vertical="center" wrapText="1"/>
    </xf>
    <xf numFmtId="0" fontId="23" fillId="18" borderId="42" xfId="0" applyFont="1" applyFill="1" applyBorder="1" applyAlignment="1">
      <alignment horizontal="center" vertical="center" wrapText="1"/>
    </xf>
    <xf numFmtId="0" fontId="40" fillId="13" borderId="1" xfId="0" applyFont="1" applyFill="1" applyBorder="1" applyAlignment="1">
      <alignment horizontal="left" vertical="center" wrapText="1"/>
    </xf>
    <xf numFmtId="0" fontId="33" fillId="28" borderId="4" xfId="0" applyFont="1" applyFill="1" applyBorder="1" applyAlignment="1">
      <alignment horizontal="center" vertical="center" wrapText="1"/>
    </xf>
    <xf numFmtId="0" fontId="33" fillId="28" borderId="6" xfId="0" applyFont="1" applyFill="1" applyBorder="1" applyAlignment="1">
      <alignment horizontal="center" vertical="center" wrapText="1"/>
    </xf>
    <xf numFmtId="0" fontId="33" fillId="28" borderId="18" xfId="0" applyFont="1" applyFill="1" applyBorder="1" applyAlignment="1">
      <alignment horizontal="center" vertical="center" wrapText="1"/>
    </xf>
    <xf numFmtId="0" fontId="33" fillId="9" borderId="52" xfId="0" applyFont="1" applyFill="1" applyBorder="1" applyAlignment="1">
      <alignment horizontal="center" vertical="center"/>
    </xf>
    <xf numFmtId="0" fontId="33" fillId="9" borderId="3" xfId="0" applyFont="1" applyFill="1" applyBorder="1" applyAlignment="1">
      <alignment horizontal="center" vertical="center" wrapText="1"/>
    </xf>
    <xf numFmtId="1" fontId="33" fillId="0" borderId="3" xfId="0" applyNumberFormat="1" applyFont="1" applyBorder="1" applyAlignment="1">
      <alignment horizontal="center" vertical="center" wrapText="1"/>
    </xf>
    <xf numFmtId="1" fontId="33" fillId="0" borderId="5" xfId="0" applyNumberFormat="1" applyFont="1" applyBorder="1" applyAlignment="1">
      <alignment horizontal="center" vertical="center" wrapText="1"/>
    </xf>
    <xf numFmtId="1" fontId="33" fillId="0" borderId="7" xfId="0" applyNumberFormat="1" applyFont="1" applyBorder="1" applyAlignment="1">
      <alignment horizontal="center" vertical="center" wrapText="1"/>
    </xf>
    <xf numFmtId="2" fontId="33" fillId="9" borderId="3" xfId="0" applyNumberFormat="1" applyFont="1" applyFill="1" applyBorder="1" applyAlignment="1">
      <alignment horizontal="center" vertical="center" wrapText="1"/>
    </xf>
    <xf numFmtId="2" fontId="33" fillId="9" borderId="7" xfId="0" applyNumberFormat="1" applyFont="1" applyFill="1" applyBorder="1" applyAlignment="1">
      <alignment horizontal="center" vertical="center" wrapText="1"/>
    </xf>
    <xf numFmtId="0" fontId="79" fillId="0" borderId="3" xfId="0" applyFont="1" applyBorder="1" applyAlignment="1">
      <alignment horizontal="left" vertical="center" wrapText="1"/>
    </xf>
    <xf numFmtId="0" fontId="79" fillId="0" borderId="7" xfId="0" applyFont="1" applyBorder="1" applyAlignment="1">
      <alignment horizontal="left" vertical="center" wrapText="1"/>
    </xf>
    <xf numFmtId="2" fontId="33" fillId="0" borderId="5" xfId="0" applyNumberFormat="1" applyFont="1" applyBorder="1" applyAlignment="1">
      <alignment horizontal="center" vertical="center" wrapText="1"/>
    </xf>
    <xf numFmtId="0" fontId="33" fillId="0" borderId="3" xfId="0" applyFont="1" applyBorder="1" applyAlignment="1">
      <alignment horizontal="left" vertical="center" wrapText="1"/>
    </xf>
    <xf numFmtId="0" fontId="33" fillId="0" borderId="7" xfId="0" applyFont="1" applyBorder="1" applyAlignment="1">
      <alignment horizontal="left" vertical="center" wrapText="1"/>
    </xf>
    <xf numFmtId="0" fontId="33" fillId="0" borderId="5" xfId="0" applyFont="1" applyBorder="1" applyAlignment="1">
      <alignment horizontal="left" vertical="center" wrapText="1"/>
    </xf>
    <xf numFmtId="0" fontId="33" fillId="0" borderId="8" xfId="0" applyFont="1" applyBorder="1" applyAlignment="1">
      <alignment horizontal="left" vertical="center" wrapText="1"/>
    </xf>
    <xf numFmtId="0" fontId="33" fillId="0" borderId="14" xfId="0" applyFont="1" applyBorder="1" applyAlignment="1">
      <alignment horizontal="left" vertical="center" wrapText="1"/>
    </xf>
    <xf numFmtId="0" fontId="33" fillId="0" borderId="10" xfId="0" applyFont="1" applyBorder="1" applyAlignment="1">
      <alignment horizontal="left" vertical="center" wrapText="1"/>
    </xf>
    <xf numFmtId="0" fontId="33" fillId="0" borderId="8"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59" xfId="0" applyFont="1" applyBorder="1" applyAlignment="1">
      <alignment horizontal="left" vertical="center" wrapText="1"/>
    </xf>
    <xf numFmtId="0" fontId="33" fillId="0" borderId="30" xfId="0" applyFont="1" applyBorder="1" applyAlignment="1">
      <alignment horizontal="left" vertical="center" wrapText="1"/>
    </xf>
    <xf numFmtId="0" fontId="33" fillId="0" borderId="60" xfId="0" applyFont="1" applyBorder="1" applyAlignment="1">
      <alignment horizontal="left" vertical="center" wrapText="1"/>
    </xf>
    <xf numFmtId="0" fontId="78" fillId="0" borderId="1" xfId="1" applyFont="1" applyBorder="1" applyAlignment="1">
      <alignment horizontal="left" vertical="center" wrapText="1"/>
    </xf>
    <xf numFmtId="0" fontId="33" fillId="0" borderId="3"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33" fillId="14" borderId="17" xfId="0" applyFont="1" applyFill="1" applyBorder="1" applyAlignment="1">
      <alignment horizontal="center" vertical="center" wrapText="1"/>
    </xf>
    <xf numFmtId="0" fontId="33" fillId="14" borderId="0" xfId="0" applyFont="1" applyFill="1" applyAlignment="1">
      <alignment horizontal="center" vertical="center" wrapText="1"/>
    </xf>
    <xf numFmtId="164" fontId="33" fillId="9" borderId="3" xfId="0" applyNumberFormat="1" applyFont="1" applyFill="1" applyBorder="1" applyAlignment="1">
      <alignment horizontal="center" vertical="center"/>
    </xf>
    <xf numFmtId="164" fontId="33" fillId="9" borderId="7" xfId="0" applyNumberFormat="1" applyFont="1" applyFill="1" applyBorder="1" applyAlignment="1">
      <alignment horizontal="center" vertical="center"/>
    </xf>
    <xf numFmtId="2" fontId="33" fillId="9" borderId="3" xfId="0" applyNumberFormat="1" applyFont="1" applyFill="1" applyBorder="1" applyAlignment="1">
      <alignment horizontal="right" vertical="center"/>
    </xf>
    <xf numFmtId="2" fontId="33" fillId="9" borderId="7" xfId="0" applyNumberFormat="1" applyFont="1" applyFill="1" applyBorder="1" applyAlignment="1">
      <alignment horizontal="right" vertical="center"/>
    </xf>
    <xf numFmtId="0" fontId="33" fillId="28" borderId="2" xfId="0" applyFont="1" applyFill="1" applyBorder="1" applyAlignment="1">
      <alignment horizontal="left" vertical="center" wrapText="1"/>
    </xf>
    <xf numFmtId="0" fontId="33" fillId="28" borderId="8" xfId="0" applyFont="1" applyFill="1" applyBorder="1" applyAlignment="1">
      <alignment horizontal="left" vertical="center" wrapText="1"/>
    </xf>
    <xf numFmtId="0" fontId="33" fillId="14" borderId="8" xfId="0" applyFont="1" applyFill="1" applyBorder="1" applyAlignment="1">
      <alignment horizontal="left" vertical="center" wrapText="1"/>
    </xf>
    <xf numFmtId="0" fontId="33" fillId="14" borderId="10" xfId="0" applyFont="1" applyFill="1" applyBorder="1" applyAlignment="1">
      <alignment horizontal="left" vertical="center" wrapText="1"/>
    </xf>
    <xf numFmtId="164" fontId="33" fillId="0" borderId="3" xfId="0" applyNumberFormat="1" applyFont="1" applyBorder="1" applyAlignment="1">
      <alignment horizontal="center" vertical="center" wrapText="1"/>
    </xf>
    <xf numFmtId="164" fontId="33" fillId="0" borderId="5" xfId="0" applyNumberFormat="1" applyFont="1" applyBorder="1" applyAlignment="1">
      <alignment horizontal="center" vertical="center" wrapText="1"/>
    </xf>
    <xf numFmtId="164" fontId="33" fillId="0" borderId="7" xfId="0" applyNumberFormat="1" applyFont="1" applyBorder="1" applyAlignment="1">
      <alignment horizontal="center" vertical="center" wrapText="1"/>
    </xf>
    <xf numFmtId="0" fontId="33" fillId="12" borderId="25" xfId="0" applyFont="1" applyFill="1" applyBorder="1" applyAlignment="1">
      <alignment horizontal="left" vertical="center" wrapText="1"/>
    </xf>
    <xf numFmtId="0" fontId="33" fillId="12" borderId="21" xfId="0" applyFont="1" applyFill="1" applyBorder="1" applyAlignment="1">
      <alignment horizontal="left" vertical="center" wrapText="1"/>
    </xf>
    <xf numFmtId="0" fontId="33" fillId="12" borderId="16" xfId="0" applyFont="1" applyFill="1" applyBorder="1" applyAlignment="1">
      <alignment horizontal="left" vertical="center" wrapText="1"/>
    </xf>
    <xf numFmtId="0" fontId="33" fillId="12" borderId="37" xfId="0" applyFont="1" applyFill="1" applyBorder="1" applyAlignment="1">
      <alignment horizontal="left" vertical="center" wrapText="1"/>
    </xf>
    <xf numFmtId="0" fontId="33" fillId="9" borderId="6" xfId="0" applyFont="1" applyFill="1" applyBorder="1" applyAlignment="1">
      <alignment horizontal="center" vertical="center"/>
    </xf>
    <xf numFmtId="0" fontId="33" fillId="9" borderId="18" xfId="0" applyFont="1" applyFill="1" applyBorder="1" applyAlignment="1">
      <alignment horizontal="center" vertical="center"/>
    </xf>
    <xf numFmtId="0" fontId="33" fillId="0" borderId="6" xfId="0" applyFont="1" applyBorder="1" applyAlignment="1">
      <alignment horizontal="left" vertical="center" wrapText="1"/>
    </xf>
    <xf numFmtId="0" fontId="97" fillId="0" borderId="3" xfId="0" applyFont="1" applyBorder="1" applyAlignment="1">
      <alignment horizontal="left" vertical="center" wrapText="1"/>
    </xf>
    <xf numFmtId="0" fontId="97" fillId="0" borderId="5" xfId="0" applyFont="1" applyBorder="1" applyAlignment="1">
      <alignment horizontal="left" vertical="center" wrapText="1"/>
    </xf>
    <xf numFmtId="0" fontId="97" fillId="0" borderId="7" xfId="0" applyFont="1" applyBorder="1" applyAlignment="1">
      <alignment horizontal="left" vertical="center" wrapText="1"/>
    </xf>
    <xf numFmtId="0" fontId="33" fillId="0" borderId="54" xfId="0" applyFont="1" applyBorder="1" applyAlignment="1">
      <alignment horizontal="left" vertical="center" wrapText="1"/>
    </xf>
    <xf numFmtId="0" fontId="33" fillId="0" borderId="55" xfId="0" applyFont="1" applyBorder="1" applyAlignment="1">
      <alignment horizontal="left" vertical="center" wrapText="1"/>
    </xf>
    <xf numFmtId="0" fontId="33" fillId="0" borderId="56" xfId="0" applyFont="1" applyBorder="1" applyAlignment="1">
      <alignment horizontal="left" vertical="center" wrapText="1"/>
    </xf>
    <xf numFmtId="0" fontId="98" fillId="0" borderId="3" xfId="0" applyFont="1" applyBorder="1" applyAlignment="1">
      <alignment horizontal="left" vertical="center" wrapText="1"/>
    </xf>
    <xf numFmtId="0" fontId="98" fillId="0" borderId="7" xfId="0" applyFont="1" applyBorder="1" applyAlignment="1">
      <alignment horizontal="left" vertical="center" wrapText="1"/>
    </xf>
    <xf numFmtId="0" fontId="33" fillId="0" borderId="18" xfId="0" applyFont="1" applyBorder="1" applyAlignment="1">
      <alignment horizontal="left" vertical="center" wrapText="1"/>
    </xf>
    <xf numFmtId="0" fontId="33" fillId="0" borderId="27" xfId="0" applyFont="1" applyBorder="1" applyAlignment="1">
      <alignment horizontal="center" vertical="center" wrapText="1"/>
    </xf>
    <xf numFmtId="0" fontId="73" fillId="15" borderId="4" xfId="0" applyFont="1" applyFill="1" applyBorder="1" applyAlignment="1">
      <alignment horizontal="center" vertical="center" wrapText="1"/>
    </xf>
    <xf numFmtId="0" fontId="73" fillId="15" borderId="6" xfId="0" applyFont="1" applyFill="1" applyBorder="1" applyAlignment="1">
      <alignment horizontal="center" vertical="center" wrapText="1"/>
    </xf>
    <xf numFmtId="0" fontId="73" fillId="15" borderId="18" xfId="0" applyFont="1" applyFill="1" applyBorder="1" applyAlignment="1">
      <alignment horizontal="center" vertical="center" wrapText="1"/>
    </xf>
    <xf numFmtId="0" fontId="73" fillId="0" borderId="27" xfId="0" applyFont="1" applyBorder="1" applyAlignment="1">
      <alignment horizontal="center" vertical="center" wrapText="1"/>
    </xf>
    <xf numFmtId="0" fontId="73" fillId="0" borderId="2" xfId="0" applyFont="1" applyBorder="1" applyAlignment="1">
      <alignment horizontal="center" vertical="center" wrapText="1"/>
    </xf>
    <xf numFmtId="0" fontId="73" fillId="0" borderId="19" xfId="0" applyFont="1" applyBorder="1" applyAlignment="1">
      <alignment horizontal="center" vertical="center" wrapText="1"/>
    </xf>
    <xf numFmtId="0" fontId="73" fillId="0" borderId="15" xfId="0" applyFont="1" applyBorder="1" applyAlignment="1">
      <alignment horizontal="center" vertical="center" wrapText="1"/>
    </xf>
    <xf numFmtId="0" fontId="73" fillId="4" borderId="2" xfId="0" applyFont="1" applyFill="1" applyBorder="1" applyAlignment="1">
      <alignment horizontal="center" vertical="center" wrapText="1"/>
    </xf>
    <xf numFmtId="0" fontId="73" fillId="4" borderId="19" xfId="0" applyFont="1" applyFill="1" applyBorder="1" applyAlignment="1">
      <alignment horizontal="center" vertical="center" wrapText="1"/>
    </xf>
    <xf numFmtId="0" fontId="92" fillId="13" borderId="34" xfId="0" applyFont="1" applyFill="1" applyBorder="1" applyAlignment="1">
      <alignment horizontal="left" vertical="center" wrapText="1"/>
    </xf>
    <xf numFmtId="0" fontId="92" fillId="13" borderId="35" xfId="0" applyFont="1" applyFill="1" applyBorder="1" applyAlignment="1">
      <alignment horizontal="left" vertical="center" wrapText="1"/>
    </xf>
    <xf numFmtId="0" fontId="92" fillId="13" borderId="36" xfId="0" applyFont="1" applyFill="1" applyBorder="1" applyAlignment="1">
      <alignment horizontal="left" vertical="center" wrapText="1"/>
    </xf>
    <xf numFmtId="0" fontId="55" fillId="30" borderId="43" xfId="0" applyFont="1" applyFill="1" applyBorder="1" applyAlignment="1">
      <alignment horizontal="center" vertical="center" wrapText="1"/>
    </xf>
    <xf numFmtId="0" fontId="55" fillId="30" borderId="44" xfId="0" applyFont="1" applyFill="1" applyBorder="1" applyAlignment="1">
      <alignment horizontal="center" vertical="center" wrapText="1"/>
    </xf>
    <xf numFmtId="0" fontId="23" fillId="18" borderId="1" xfId="0" applyFont="1" applyFill="1" applyBorder="1" applyAlignment="1">
      <alignment horizontal="center" vertical="center" wrapText="1"/>
    </xf>
    <xf numFmtId="0" fontId="17" fillId="30" borderId="1" xfId="0" applyFont="1" applyFill="1" applyBorder="1" applyAlignment="1">
      <alignment horizontal="center" vertical="center" wrapText="1"/>
    </xf>
    <xf numFmtId="0" fontId="49" fillId="5" borderId="1" xfId="0" applyFont="1" applyFill="1" applyBorder="1" applyAlignment="1">
      <alignment horizontal="left" wrapText="1"/>
    </xf>
  </cellXfs>
  <cellStyles count="2">
    <cellStyle name="Hyperlink" xfId="1" builtinId="8"/>
    <cellStyle name="Normal" xfId="0" builtinId="0"/>
  </cellStyles>
  <dxfs count="111">
    <dxf>
      <font>
        <color theme="7" tint="0.79998168889431442"/>
      </font>
      <fill>
        <patternFill>
          <bgColor theme="7" tint="0.79998168889431442"/>
        </patternFill>
      </fill>
    </dxf>
    <dxf>
      <font>
        <color rgb="FFFF0000"/>
      </font>
      <fill>
        <patternFill>
          <bgColor rgb="FFFF0000"/>
        </patternFill>
      </fill>
    </dxf>
    <dxf>
      <font>
        <color theme="9" tint="0.79998168889431442"/>
      </font>
      <fill>
        <patternFill>
          <bgColor theme="9" tint="0.79998168889431442"/>
        </patternFill>
      </fill>
    </dxf>
    <dxf>
      <font>
        <color theme="1"/>
      </font>
      <fill>
        <patternFill>
          <bgColor theme="7" tint="0.79998168889431442"/>
        </patternFill>
      </fill>
    </dxf>
    <dxf>
      <font>
        <color theme="0"/>
      </font>
      <fill>
        <patternFill>
          <bgColor rgb="FFFF0000"/>
        </patternFill>
      </fill>
    </dxf>
    <dxf>
      <font>
        <color theme="1"/>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FF0000"/>
      </font>
      <fill>
        <patternFill>
          <bgColor rgb="FFFF0000"/>
        </patternFill>
      </fill>
    </dxf>
    <dxf>
      <font>
        <color theme="7" tint="0.79998168889431442"/>
      </font>
      <fill>
        <patternFill>
          <bgColor theme="7" tint="0.79998168889431442"/>
        </patternFill>
      </fill>
    </dxf>
    <dxf>
      <font>
        <color theme="9" tint="0.79998168889431442"/>
      </font>
      <fill>
        <patternFill>
          <bgColor theme="9" tint="0.79998168889431442"/>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ont>
        <color theme="1"/>
      </font>
      <fill>
        <patternFill>
          <bgColor theme="9" tint="0.79998168889431442"/>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ont>
        <color theme="0"/>
      </font>
      <fill>
        <patternFill>
          <bgColor rgb="FFFF0000"/>
        </patternFill>
      </fill>
    </dxf>
    <dxf>
      <font>
        <color theme="1"/>
      </font>
      <fill>
        <patternFill>
          <bgColor theme="7" tint="0.79998168889431442"/>
        </patternFill>
      </fill>
    </dxf>
    <dxf>
      <font>
        <color theme="2"/>
      </font>
      <fill>
        <patternFill>
          <bgColor theme="2"/>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b/>
        <i val="0"/>
        <color theme="1"/>
      </font>
      <fill>
        <patternFill>
          <bgColor theme="7" tint="0.79998168889431442"/>
        </patternFill>
      </fill>
    </dxf>
    <dxf>
      <font>
        <b/>
        <i val="0"/>
        <color theme="0"/>
      </font>
      <fill>
        <patternFill>
          <bgColor rgb="FFFF0000"/>
        </patternFill>
      </fill>
    </dxf>
    <dxf>
      <font>
        <b/>
        <i val="0"/>
        <color theme="1"/>
      </font>
      <fill>
        <patternFill>
          <bgColor theme="9" tint="0.79998168889431442"/>
        </patternFill>
      </fill>
    </dxf>
    <dxf>
      <fill>
        <patternFill>
          <bgColor theme="1" tint="0.499984740745262"/>
        </patternFill>
      </fill>
    </dxf>
    <dxf>
      <font>
        <color theme="2"/>
      </font>
      <fill>
        <patternFill>
          <bgColor theme="2"/>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b/>
        <i val="0"/>
        <color theme="1"/>
      </font>
      <fill>
        <patternFill>
          <bgColor theme="7" tint="0.79998168889431442"/>
        </patternFill>
      </fill>
    </dxf>
    <dxf>
      <font>
        <b/>
        <i val="0"/>
        <color theme="0"/>
      </font>
      <fill>
        <patternFill>
          <bgColor rgb="FFFF0000"/>
        </patternFill>
      </fill>
    </dxf>
    <dxf>
      <font>
        <b/>
        <i val="0"/>
        <color theme="1"/>
      </font>
      <fill>
        <patternFill>
          <bgColor theme="9" tint="0.79998168889431442"/>
        </patternFill>
      </fill>
    </dxf>
    <dxf>
      <fill>
        <patternFill>
          <bgColor theme="1" tint="0.499984740745262"/>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color theme="1"/>
      </font>
      <fill>
        <patternFill>
          <bgColor theme="9" tint="0.79998168889431442"/>
        </patternFill>
      </fill>
    </dxf>
    <dxf>
      <font>
        <color rgb="FF9C0006"/>
      </font>
      <fill>
        <patternFill>
          <bgColor rgb="FFFFC7CE"/>
        </patternFill>
      </fill>
    </dxf>
    <dxf>
      <font>
        <color rgb="FF9C0006"/>
      </font>
      <fill>
        <patternFill>
          <bgColor rgb="FFFFC7CE"/>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ont>
        <color theme="0"/>
      </font>
      <fill>
        <patternFill>
          <bgColor rgb="FFFF0000"/>
        </patternFill>
      </fill>
    </dxf>
    <dxf>
      <font>
        <color theme="1"/>
      </font>
      <fill>
        <patternFill>
          <bgColor theme="7" tint="0.79998168889431442"/>
        </patternFill>
      </fill>
    </dxf>
    <dxf>
      <font>
        <color theme="1"/>
      </font>
      <fill>
        <patternFill>
          <bgColor theme="9" tint="0.79998168889431442"/>
        </patternFill>
      </fill>
    </dxf>
    <dxf>
      <fill>
        <patternFill>
          <bgColor theme="7" tint="0.79998168889431442"/>
        </patternFill>
      </fill>
    </dxf>
    <dxf>
      <fill>
        <patternFill>
          <bgColor theme="9" tint="0.79998168889431442"/>
        </patternFill>
      </fill>
    </dxf>
    <dxf>
      <font>
        <color theme="0"/>
      </font>
      <fill>
        <patternFill>
          <bgColor rgb="FFFF0000"/>
        </patternFill>
      </fill>
    </dxf>
    <dxf>
      <fill>
        <patternFill>
          <bgColor theme="7" tint="0.79998168889431442"/>
        </patternFill>
      </fill>
    </dxf>
    <dxf>
      <fill>
        <patternFill>
          <bgColor theme="9" tint="0.79998168889431442"/>
        </patternFill>
      </fill>
    </dxf>
    <dxf>
      <font>
        <color theme="0"/>
      </font>
      <fill>
        <patternFill>
          <bgColor rgb="FFFF0000"/>
        </patternFill>
      </fill>
    </dxf>
    <dxf>
      <font>
        <color theme="2" tint="-9.9948118533890809E-2"/>
      </font>
      <fill>
        <patternFill>
          <bgColor theme="2" tint="-9.9948118533890809E-2"/>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b/>
        <i val="0"/>
        <color theme="1"/>
      </font>
      <fill>
        <patternFill>
          <bgColor theme="7" tint="0.79998168889431442"/>
        </patternFill>
      </fill>
    </dxf>
    <dxf>
      <font>
        <b/>
        <i val="0"/>
        <color theme="0"/>
      </font>
      <fill>
        <patternFill>
          <bgColor rgb="FFFF0000"/>
        </patternFill>
      </fill>
    </dxf>
    <dxf>
      <font>
        <b/>
        <i val="0"/>
        <color theme="1"/>
      </font>
      <fill>
        <patternFill>
          <bgColor theme="9" tint="0.79998168889431442"/>
        </patternFill>
      </fill>
    </dxf>
    <dxf>
      <fill>
        <patternFill>
          <bgColor theme="1" tint="0.499984740745262"/>
        </patternFill>
      </fill>
    </dxf>
    <dxf>
      <font>
        <color theme="2"/>
      </font>
      <fill>
        <patternFill>
          <bgColor theme="2"/>
        </patternFill>
      </fill>
    </dxf>
    <dxf>
      <font>
        <color theme="1"/>
      </font>
      <fill>
        <patternFill>
          <bgColor theme="9" tint="0.79998168889431442"/>
        </patternFill>
      </fill>
    </dxf>
    <dxf>
      <font>
        <color theme="1"/>
      </font>
      <fill>
        <patternFill>
          <bgColor theme="7" tint="0.79998168889431442"/>
        </patternFill>
      </fill>
    </dxf>
    <dxf>
      <font>
        <color theme="0"/>
      </font>
      <fill>
        <patternFill>
          <bgColor rgb="FFFF0000"/>
        </patternFill>
      </fill>
    </dxf>
    <dxf>
      <font>
        <b/>
        <i val="0"/>
        <color theme="1"/>
      </font>
      <fill>
        <patternFill>
          <bgColor theme="7" tint="0.79998168889431442"/>
        </patternFill>
      </fill>
    </dxf>
    <dxf>
      <font>
        <b/>
        <i val="0"/>
        <color theme="0"/>
      </font>
      <fill>
        <patternFill>
          <bgColor rgb="FFFF0000"/>
        </patternFill>
      </fill>
    </dxf>
    <dxf>
      <font>
        <b/>
        <i val="0"/>
        <color theme="1"/>
      </font>
      <fill>
        <patternFill>
          <bgColor theme="9"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theme="0"/>
      </font>
      <fill>
        <patternFill>
          <bgColor rgb="FFFF0000"/>
        </patternFill>
      </fill>
    </dxf>
    <dxf>
      <font>
        <color auto="1"/>
      </font>
      <fill>
        <patternFill>
          <bgColor theme="7" tint="0.79998168889431442"/>
        </patternFill>
      </fill>
    </dxf>
    <dxf>
      <fill>
        <patternFill>
          <bgColor theme="9" tint="0.79998168889431442"/>
        </patternFill>
      </fill>
    </dxf>
    <dxf>
      <fill>
        <patternFill>
          <bgColor theme="0" tint="-4.9989318521683403E-2"/>
        </patternFill>
      </fill>
    </dxf>
    <dxf>
      <font>
        <color theme="0"/>
      </font>
      <fill>
        <patternFill>
          <bgColor rgb="FFFF0000"/>
        </patternFill>
      </fill>
    </dxf>
    <dxf>
      <font>
        <color auto="1"/>
      </font>
      <fill>
        <patternFill>
          <bgColor theme="7" tint="0.79998168889431442"/>
        </patternFill>
      </fill>
    </dxf>
    <dxf>
      <fill>
        <patternFill>
          <bgColor theme="9" tint="0.79998168889431442"/>
        </patternFill>
      </fill>
    </dxf>
    <dxf>
      <fill>
        <patternFill>
          <bgColor theme="0" tint="-4.9989318521683403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1"/>
      </font>
      <fill>
        <patternFill>
          <bgColor theme="9" tint="0.59996337778862885"/>
        </patternFill>
      </fill>
    </dxf>
    <dxf>
      <font>
        <color theme="1"/>
      </font>
      <fill>
        <patternFill>
          <bgColor theme="5" tint="0.39994506668294322"/>
        </patternFill>
      </fill>
    </dxf>
    <dxf>
      <font>
        <color theme="0"/>
      </font>
      <fill>
        <patternFill>
          <bgColor rgb="FFFF0000"/>
        </patternFill>
      </fill>
    </dxf>
    <dxf>
      <font>
        <color rgb="FF9C0006"/>
      </font>
      <fill>
        <patternFill>
          <bgColor rgb="FFFFC7CE"/>
        </patternFill>
      </fill>
    </dxf>
    <dxf>
      <font>
        <color auto="1"/>
      </font>
      <fill>
        <patternFill>
          <bgColor rgb="FFFFC000"/>
        </patternFill>
      </fill>
    </dxf>
    <dxf>
      <fill>
        <patternFill>
          <bgColor rgb="FFF9F1C3"/>
        </patternFill>
      </fill>
    </dxf>
    <dxf>
      <fill>
        <patternFill>
          <bgColor theme="0" tint="-4.9989318521683403E-2"/>
        </patternFill>
      </fill>
    </dxf>
    <dxf>
      <font>
        <color theme="0"/>
      </font>
      <fill>
        <patternFill>
          <bgColor theme="0"/>
        </patternFill>
      </fill>
    </dxf>
    <dxf>
      <fill>
        <patternFill>
          <bgColor rgb="FFC00000"/>
        </patternFill>
      </fill>
    </dxf>
    <dxf>
      <font>
        <b/>
        <i val="0"/>
        <color theme="1"/>
      </font>
      <fill>
        <patternFill>
          <bgColor theme="5" tint="0.79998168889431442"/>
        </patternFill>
      </fill>
    </dxf>
    <dxf>
      <fill>
        <patternFill>
          <bgColor rgb="FFFFC5C5"/>
        </patternFill>
      </fill>
    </dxf>
    <dxf>
      <fill>
        <patternFill>
          <bgColor rgb="FFFFC5C5"/>
        </patternFill>
      </fill>
    </dxf>
    <dxf>
      <font>
        <b/>
        <i val="0"/>
      </font>
      <fill>
        <patternFill>
          <bgColor theme="7" tint="0.79998168889431442"/>
        </patternFill>
      </fill>
    </dxf>
    <dxf>
      <font>
        <color rgb="FFC00000"/>
      </font>
      <fill>
        <patternFill>
          <fgColor theme="0"/>
          <bgColor rgb="FFC00000"/>
        </patternFill>
      </fill>
    </dxf>
    <dxf>
      <font>
        <color theme="0"/>
      </font>
      <fill>
        <patternFill>
          <bgColor theme="0"/>
        </patternFill>
      </fill>
    </dxf>
    <dxf>
      <font>
        <color rgb="FFC00000"/>
      </font>
      <fill>
        <patternFill>
          <bgColor rgb="FFC00000"/>
        </patternFill>
      </fill>
    </dxf>
    <dxf>
      <font>
        <color theme="0"/>
      </font>
    </dxf>
  </dxfs>
  <tableStyles count="0" defaultTableStyle="TableStyleMedium2" defaultPivotStyle="PivotStyleLight16"/>
  <colors>
    <mruColors>
      <color rgb="FFC2D0CA"/>
      <color rgb="FF00B0F0"/>
      <color rgb="FF83CADD"/>
      <color rgb="FF00D29B"/>
      <color rgb="FF005440"/>
      <color rgb="FF007D5C"/>
      <color rgb="FF003362"/>
      <color rgb="FFFFC7CE"/>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155864</xdr:colOff>
      <xdr:row>0</xdr:row>
      <xdr:rowOff>166608</xdr:rowOff>
    </xdr:from>
    <xdr:to>
      <xdr:col>14</xdr:col>
      <xdr:colOff>80815</xdr:colOff>
      <xdr:row>3</xdr:row>
      <xdr:rowOff>203922</xdr:rowOff>
    </xdr:to>
    <xdr:pic>
      <xdr:nvPicPr>
        <xdr:cNvPr id="3" name="Picture 2" descr="Sustainable Biomass Guidelines">
          <a:extLst>
            <a:ext uri="{FF2B5EF4-FFF2-40B4-BE49-F238E27FC236}">
              <a16:creationId xmlns:a16="http://schemas.microsoft.com/office/drawing/2014/main" id="{C794770A-BF17-1E6C-5858-890A3B8040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56273" y="166608"/>
          <a:ext cx="1691406" cy="556859"/>
        </a:xfrm>
        <a:prstGeom prst="rect">
          <a:avLst/>
        </a:prstGeom>
        <a:noFill/>
        <a:ln>
          <a:noFill/>
        </a:ln>
      </xdr:spPr>
    </xdr:pic>
    <xdr:clientData/>
  </xdr:twoCellAnchor>
  <xdr:twoCellAnchor editAs="oneCell">
    <xdr:from>
      <xdr:col>0</xdr:col>
      <xdr:colOff>0</xdr:colOff>
      <xdr:row>0</xdr:row>
      <xdr:rowOff>138545</xdr:rowOff>
    </xdr:from>
    <xdr:to>
      <xdr:col>1</xdr:col>
      <xdr:colOff>1439846</xdr:colOff>
      <xdr:row>4</xdr:row>
      <xdr:rowOff>165812</xdr:rowOff>
    </xdr:to>
    <xdr:pic>
      <xdr:nvPicPr>
        <xdr:cNvPr id="5" name="Picture 4" descr="A logo with a black background&#10;&#10;Description automatically generated">
          <a:extLst>
            <a:ext uri="{FF2B5EF4-FFF2-40B4-BE49-F238E27FC236}">
              <a16:creationId xmlns:a16="http://schemas.microsoft.com/office/drawing/2014/main" id="{6FE6D081-01B8-471C-92AB-CBA46719E4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38545"/>
          <a:ext cx="2028664" cy="789267"/>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389041</xdr:colOff>
      <xdr:row>0</xdr:row>
      <xdr:rowOff>266188</xdr:rowOff>
    </xdr:from>
    <xdr:to>
      <xdr:col>16</xdr:col>
      <xdr:colOff>39375</xdr:colOff>
      <xdr:row>0</xdr:row>
      <xdr:rowOff>826222</xdr:rowOff>
    </xdr:to>
    <xdr:pic>
      <xdr:nvPicPr>
        <xdr:cNvPr id="4" name="Picture 3" descr="Sustainable Biomass Guidelines">
          <a:extLst>
            <a:ext uri="{FF2B5EF4-FFF2-40B4-BE49-F238E27FC236}">
              <a16:creationId xmlns:a16="http://schemas.microsoft.com/office/drawing/2014/main" id="{BC7DCB01-5A0F-4AC6-92F0-DC7C1EAD1E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48148" y="266188"/>
          <a:ext cx="1691406" cy="556859"/>
        </a:xfrm>
        <a:prstGeom prst="rect">
          <a:avLst/>
        </a:prstGeom>
        <a:noFill/>
        <a:ln>
          <a:noFill/>
        </a:ln>
      </xdr:spPr>
    </xdr:pic>
    <xdr:clientData/>
  </xdr:twoCellAnchor>
  <xdr:twoCellAnchor editAs="oneCell">
    <xdr:from>
      <xdr:col>0</xdr:col>
      <xdr:colOff>34018</xdr:colOff>
      <xdr:row>0</xdr:row>
      <xdr:rowOff>238125</xdr:rowOff>
    </xdr:from>
    <xdr:to>
      <xdr:col>1</xdr:col>
      <xdr:colOff>497861</xdr:colOff>
      <xdr:row>0</xdr:row>
      <xdr:rowOff>1027392</xdr:rowOff>
    </xdr:to>
    <xdr:pic>
      <xdr:nvPicPr>
        <xdr:cNvPr id="5" name="Picture 4" descr="A logo with a black background&#10;&#10;Description automatically generated">
          <a:extLst>
            <a:ext uri="{FF2B5EF4-FFF2-40B4-BE49-F238E27FC236}">
              <a16:creationId xmlns:a16="http://schemas.microsoft.com/office/drawing/2014/main" id="{55A36C88-64C0-413D-AA01-1015C28629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18" y="238125"/>
          <a:ext cx="2028664" cy="78926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2060864</xdr:colOff>
      <xdr:row>1</xdr:row>
      <xdr:rowOff>28063</xdr:rowOff>
    </xdr:from>
    <xdr:to>
      <xdr:col>9</xdr:col>
      <xdr:colOff>28861</xdr:colOff>
      <xdr:row>2</xdr:row>
      <xdr:rowOff>82695</xdr:rowOff>
    </xdr:to>
    <xdr:pic>
      <xdr:nvPicPr>
        <xdr:cNvPr id="4" name="Picture 3" descr="Sustainable Biomass Guidelines">
          <a:extLst>
            <a:ext uri="{FF2B5EF4-FFF2-40B4-BE49-F238E27FC236}">
              <a16:creationId xmlns:a16="http://schemas.microsoft.com/office/drawing/2014/main" id="{FF7333AA-D49C-40CA-AC88-DA9FE9F505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79637" y="183927"/>
          <a:ext cx="1691406" cy="556859"/>
        </a:xfrm>
        <a:prstGeom prst="rect">
          <a:avLst/>
        </a:prstGeom>
        <a:noFill/>
        <a:ln>
          <a:noFill/>
        </a:ln>
      </xdr:spPr>
    </xdr:pic>
    <xdr:clientData/>
  </xdr:twoCellAnchor>
  <xdr:twoCellAnchor editAs="oneCell">
    <xdr:from>
      <xdr:col>1</xdr:col>
      <xdr:colOff>311728</xdr:colOff>
      <xdr:row>0</xdr:row>
      <xdr:rowOff>121228</xdr:rowOff>
    </xdr:from>
    <xdr:to>
      <xdr:col>2</xdr:col>
      <xdr:colOff>1987678</xdr:colOff>
      <xdr:row>2</xdr:row>
      <xdr:rowOff>258754</xdr:rowOff>
    </xdr:to>
    <xdr:pic>
      <xdr:nvPicPr>
        <xdr:cNvPr id="5" name="Picture 4" descr="A logo with a black background&#10;&#10;Description automatically generated">
          <a:extLst>
            <a:ext uri="{FF2B5EF4-FFF2-40B4-BE49-F238E27FC236}">
              <a16:creationId xmlns:a16="http://schemas.microsoft.com/office/drawing/2014/main" id="{21D72C82-DC16-4773-9C48-444F48BCC76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3455" y="121228"/>
          <a:ext cx="2028664" cy="78926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3948102</xdr:colOff>
      <xdr:row>0</xdr:row>
      <xdr:rowOff>51837</xdr:rowOff>
    </xdr:from>
    <xdr:to>
      <xdr:col>15</xdr:col>
      <xdr:colOff>0</xdr:colOff>
      <xdr:row>1</xdr:row>
      <xdr:rowOff>505936</xdr:rowOff>
    </xdr:to>
    <xdr:pic>
      <xdr:nvPicPr>
        <xdr:cNvPr id="2" name="Picture 1">
          <a:extLst>
            <a:ext uri="{FF2B5EF4-FFF2-40B4-BE49-F238E27FC236}">
              <a16:creationId xmlns:a16="http://schemas.microsoft.com/office/drawing/2014/main" id="{1A2E3942-2F1B-48F1-BEE3-9AAD5FE6B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14552" y="51837"/>
          <a:ext cx="814398" cy="844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99224</xdr:colOff>
      <xdr:row>0</xdr:row>
      <xdr:rowOff>194387</xdr:rowOff>
    </xdr:from>
    <xdr:to>
      <xdr:col>1</xdr:col>
      <xdr:colOff>755110</xdr:colOff>
      <xdr:row>1</xdr:row>
      <xdr:rowOff>431792</xdr:rowOff>
    </xdr:to>
    <xdr:pic>
      <xdr:nvPicPr>
        <xdr:cNvPr id="3" name="Picture 2" descr="Sustainable Biomass Guidelines">
          <a:extLst>
            <a:ext uri="{FF2B5EF4-FFF2-40B4-BE49-F238E27FC236}">
              <a16:creationId xmlns:a16="http://schemas.microsoft.com/office/drawing/2014/main" id="{7831C9CE-20E6-47B9-87CA-4150461A33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224" y="194387"/>
          <a:ext cx="1871911" cy="62793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744681</xdr:colOff>
      <xdr:row>0</xdr:row>
      <xdr:rowOff>149290</xdr:rowOff>
    </xdr:from>
    <xdr:to>
      <xdr:col>11</xdr:col>
      <xdr:colOff>579867</xdr:colOff>
      <xdr:row>0</xdr:row>
      <xdr:rowOff>706149</xdr:rowOff>
    </xdr:to>
    <xdr:pic>
      <xdr:nvPicPr>
        <xdr:cNvPr id="2" name="Picture 1" descr="Sustainable Biomass Guidelines">
          <a:extLst>
            <a:ext uri="{FF2B5EF4-FFF2-40B4-BE49-F238E27FC236}">
              <a16:creationId xmlns:a16="http://schemas.microsoft.com/office/drawing/2014/main" id="{8BB3A004-3E80-4B3B-8C69-C6BE1D5399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12045" y="149290"/>
          <a:ext cx="1691406" cy="556859"/>
        </a:xfrm>
        <a:prstGeom prst="rect">
          <a:avLst/>
        </a:prstGeom>
        <a:noFill/>
        <a:ln>
          <a:noFill/>
        </a:ln>
      </xdr:spPr>
    </xdr:pic>
    <xdr:clientData/>
  </xdr:twoCellAnchor>
  <xdr:twoCellAnchor editAs="oneCell">
    <xdr:from>
      <xdr:col>1</xdr:col>
      <xdr:colOff>34636</xdr:colOff>
      <xdr:row>0</xdr:row>
      <xdr:rowOff>103909</xdr:rowOff>
    </xdr:from>
    <xdr:to>
      <xdr:col>2</xdr:col>
      <xdr:colOff>383436</xdr:colOff>
      <xdr:row>0</xdr:row>
      <xdr:rowOff>893176</xdr:rowOff>
    </xdr:to>
    <xdr:pic>
      <xdr:nvPicPr>
        <xdr:cNvPr id="5" name="Picture 4" descr="A logo with a black background&#10;&#10;Description automatically generated">
          <a:extLst>
            <a:ext uri="{FF2B5EF4-FFF2-40B4-BE49-F238E27FC236}">
              <a16:creationId xmlns:a16="http://schemas.microsoft.com/office/drawing/2014/main" id="{1217EFC1-64EF-4E66-B38A-03A9B828F6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0772" y="103909"/>
          <a:ext cx="2028664" cy="78926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2831522</xdr:colOff>
      <xdr:row>0</xdr:row>
      <xdr:rowOff>170938</xdr:rowOff>
    </xdr:from>
    <xdr:to>
      <xdr:col>19</xdr:col>
      <xdr:colOff>4522928</xdr:colOff>
      <xdr:row>1</xdr:row>
      <xdr:rowOff>346797</xdr:rowOff>
    </xdr:to>
    <xdr:pic>
      <xdr:nvPicPr>
        <xdr:cNvPr id="4" name="Picture 3" descr="Sustainable Biomass Guidelines">
          <a:extLst>
            <a:ext uri="{FF2B5EF4-FFF2-40B4-BE49-F238E27FC236}">
              <a16:creationId xmlns:a16="http://schemas.microsoft.com/office/drawing/2014/main" id="{B4C3A69E-B9FE-4A57-8A29-DE99058D6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478085" y="170938"/>
          <a:ext cx="1691406" cy="556859"/>
        </a:xfrm>
        <a:prstGeom prst="rect">
          <a:avLst/>
        </a:prstGeom>
        <a:noFill/>
        <a:ln>
          <a:noFill/>
        </a:ln>
      </xdr:spPr>
    </xdr:pic>
    <xdr:clientData/>
  </xdr:twoCellAnchor>
  <xdr:twoCellAnchor editAs="oneCell">
    <xdr:from>
      <xdr:col>0</xdr:col>
      <xdr:colOff>0</xdr:colOff>
      <xdr:row>0</xdr:row>
      <xdr:rowOff>71438</xdr:rowOff>
    </xdr:from>
    <xdr:to>
      <xdr:col>1</xdr:col>
      <xdr:colOff>718976</xdr:colOff>
      <xdr:row>1</xdr:row>
      <xdr:rowOff>479705</xdr:rowOff>
    </xdr:to>
    <xdr:pic>
      <xdr:nvPicPr>
        <xdr:cNvPr id="5" name="Picture 4" descr="A logo with a black background&#10;&#10;Description automatically generated">
          <a:extLst>
            <a:ext uri="{FF2B5EF4-FFF2-40B4-BE49-F238E27FC236}">
              <a16:creationId xmlns:a16="http://schemas.microsoft.com/office/drawing/2014/main" id="{0BE881D2-D392-49F7-8BC4-634E936FF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1438"/>
          <a:ext cx="2028664" cy="78926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3545898</xdr:colOff>
      <xdr:row>0</xdr:row>
      <xdr:rowOff>170938</xdr:rowOff>
    </xdr:from>
    <xdr:to>
      <xdr:col>19</xdr:col>
      <xdr:colOff>5237304</xdr:colOff>
      <xdr:row>1</xdr:row>
      <xdr:rowOff>349972</xdr:rowOff>
    </xdr:to>
    <xdr:pic>
      <xdr:nvPicPr>
        <xdr:cNvPr id="6" name="Picture 5" descr="Sustainable Biomass Guidelines">
          <a:extLst>
            <a:ext uri="{FF2B5EF4-FFF2-40B4-BE49-F238E27FC236}">
              <a16:creationId xmlns:a16="http://schemas.microsoft.com/office/drawing/2014/main" id="{CD5774DB-3189-4E84-9D92-6D3942CAE1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406773" y="170938"/>
          <a:ext cx="1691406" cy="556859"/>
        </a:xfrm>
        <a:prstGeom prst="rect">
          <a:avLst/>
        </a:prstGeom>
        <a:noFill/>
        <a:ln>
          <a:noFill/>
        </a:ln>
      </xdr:spPr>
    </xdr:pic>
    <xdr:clientData/>
  </xdr:twoCellAnchor>
  <xdr:twoCellAnchor editAs="oneCell">
    <xdr:from>
      <xdr:col>0</xdr:col>
      <xdr:colOff>95250</xdr:colOff>
      <xdr:row>0</xdr:row>
      <xdr:rowOff>95250</xdr:rowOff>
    </xdr:from>
    <xdr:to>
      <xdr:col>1</xdr:col>
      <xdr:colOff>603089</xdr:colOff>
      <xdr:row>1</xdr:row>
      <xdr:rowOff>506692</xdr:rowOff>
    </xdr:to>
    <xdr:pic>
      <xdr:nvPicPr>
        <xdr:cNvPr id="7" name="Picture 6" descr="A logo with a black background&#10;&#10;Description automatically generated">
          <a:extLst>
            <a:ext uri="{FF2B5EF4-FFF2-40B4-BE49-F238E27FC236}">
              <a16:creationId xmlns:a16="http://schemas.microsoft.com/office/drawing/2014/main" id="{F791F226-4DF3-451A-9EEF-E7D4A99832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95250"/>
          <a:ext cx="2028664" cy="789267"/>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855086</xdr:colOff>
      <xdr:row>0</xdr:row>
      <xdr:rowOff>290001</xdr:rowOff>
    </xdr:from>
    <xdr:to>
      <xdr:col>16</xdr:col>
      <xdr:colOff>46179</xdr:colOff>
      <xdr:row>0</xdr:row>
      <xdr:rowOff>846860</xdr:rowOff>
    </xdr:to>
    <xdr:pic>
      <xdr:nvPicPr>
        <xdr:cNvPr id="6" name="Picture 5" descr="Sustainable Biomass Guidelines">
          <a:extLst>
            <a:ext uri="{FF2B5EF4-FFF2-40B4-BE49-F238E27FC236}">
              <a16:creationId xmlns:a16="http://schemas.microsoft.com/office/drawing/2014/main" id="{E0B4289B-0907-4456-96A5-5C666B52D6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24711" y="290001"/>
          <a:ext cx="1691406" cy="556859"/>
        </a:xfrm>
        <a:prstGeom prst="rect">
          <a:avLst/>
        </a:prstGeom>
        <a:noFill/>
        <a:ln>
          <a:noFill/>
        </a:ln>
      </xdr:spPr>
    </xdr:pic>
    <xdr:clientData/>
  </xdr:twoCellAnchor>
  <xdr:twoCellAnchor editAs="oneCell">
    <xdr:from>
      <xdr:col>0</xdr:col>
      <xdr:colOff>47625</xdr:colOff>
      <xdr:row>0</xdr:row>
      <xdr:rowOff>238125</xdr:rowOff>
    </xdr:from>
    <xdr:to>
      <xdr:col>1</xdr:col>
      <xdr:colOff>504664</xdr:colOff>
      <xdr:row>0</xdr:row>
      <xdr:rowOff>1027392</xdr:rowOff>
    </xdr:to>
    <xdr:pic>
      <xdr:nvPicPr>
        <xdr:cNvPr id="7" name="Picture 6" descr="A logo with a black background&#10;&#10;Description automatically generated">
          <a:extLst>
            <a:ext uri="{FF2B5EF4-FFF2-40B4-BE49-F238E27FC236}">
              <a16:creationId xmlns:a16="http://schemas.microsoft.com/office/drawing/2014/main" id="{9BA704FF-121E-4A49-B1F1-BD5335141C5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238125"/>
          <a:ext cx="2028664" cy="78926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2902960</xdr:colOff>
      <xdr:row>0</xdr:row>
      <xdr:rowOff>218563</xdr:rowOff>
    </xdr:from>
    <xdr:to>
      <xdr:col>22</xdr:col>
      <xdr:colOff>46179</xdr:colOff>
      <xdr:row>1</xdr:row>
      <xdr:rowOff>394422</xdr:rowOff>
    </xdr:to>
    <xdr:pic>
      <xdr:nvPicPr>
        <xdr:cNvPr id="4" name="Picture 3" descr="Sustainable Biomass Guidelines">
          <a:extLst>
            <a:ext uri="{FF2B5EF4-FFF2-40B4-BE49-F238E27FC236}">
              <a16:creationId xmlns:a16="http://schemas.microsoft.com/office/drawing/2014/main" id="{C9920551-2308-495A-B536-D519729C00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739898" y="218563"/>
          <a:ext cx="1691406" cy="556859"/>
        </a:xfrm>
        <a:prstGeom prst="rect">
          <a:avLst/>
        </a:prstGeom>
        <a:noFill/>
        <a:ln>
          <a:noFill/>
        </a:ln>
      </xdr:spPr>
    </xdr:pic>
    <xdr:clientData/>
  </xdr:twoCellAnchor>
  <xdr:twoCellAnchor editAs="oneCell">
    <xdr:from>
      <xdr:col>0</xdr:col>
      <xdr:colOff>95250</xdr:colOff>
      <xdr:row>0</xdr:row>
      <xdr:rowOff>119062</xdr:rowOff>
    </xdr:from>
    <xdr:to>
      <xdr:col>1</xdr:col>
      <xdr:colOff>671351</xdr:colOff>
      <xdr:row>1</xdr:row>
      <xdr:rowOff>527329</xdr:rowOff>
    </xdr:to>
    <xdr:pic>
      <xdr:nvPicPr>
        <xdr:cNvPr id="5" name="Picture 4" descr="A logo with a black background&#10;&#10;Description automatically generated">
          <a:extLst>
            <a:ext uri="{FF2B5EF4-FFF2-40B4-BE49-F238E27FC236}">
              <a16:creationId xmlns:a16="http://schemas.microsoft.com/office/drawing/2014/main" id="{8B3BBF09-E3B1-4736-A616-935717C439B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119062"/>
          <a:ext cx="2028664" cy="789267"/>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3331585</xdr:colOff>
      <xdr:row>0</xdr:row>
      <xdr:rowOff>242375</xdr:rowOff>
    </xdr:from>
    <xdr:to>
      <xdr:col>22</xdr:col>
      <xdr:colOff>46179</xdr:colOff>
      <xdr:row>1</xdr:row>
      <xdr:rowOff>418234</xdr:rowOff>
    </xdr:to>
    <xdr:pic>
      <xdr:nvPicPr>
        <xdr:cNvPr id="6" name="Picture 5" descr="Sustainable Biomass Guidelines">
          <a:extLst>
            <a:ext uri="{FF2B5EF4-FFF2-40B4-BE49-F238E27FC236}">
              <a16:creationId xmlns:a16="http://schemas.microsoft.com/office/drawing/2014/main" id="{E1EB9687-5C9A-4A86-B698-A09A90C3D0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930523" y="242375"/>
          <a:ext cx="1691406" cy="556859"/>
        </a:xfrm>
        <a:prstGeom prst="rect">
          <a:avLst/>
        </a:prstGeom>
        <a:noFill/>
        <a:ln>
          <a:noFill/>
        </a:ln>
      </xdr:spPr>
    </xdr:pic>
    <xdr:clientData/>
  </xdr:twoCellAnchor>
  <xdr:twoCellAnchor editAs="oneCell">
    <xdr:from>
      <xdr:col>0</xdr:col>
      <xdr:colOff>0</xdr:colOff>
      <xdr:row>0</xdr:row>
      <xdr:rowOff>142875</xdr:rowOff>
    </xdr:from>
    <xdr:to>
      <xdr:col>1</xdr:col>
      <xdr:colOff>861851</xdr:colOff>
      <xdr:row>1</xdr:row>
      <xdr:rowOff>551142</xdr:rowOff>
    </xdr:to>
    <xdr:pic>
      <xdr:nvPicPr>
        <xdr:cNvPr id="7" name="Picture 6" descr="A logo with a black background&#10;&#10;Description automatically generated">
          <a:extLst>
            <a:ext uri="{FF2B5EF4-FFF2-40B4-BE49-F238E27FC236}">
              <a16:creationId xmlns:a16="http://schemas.microsoft.com/office/drawing/2014/main" id="{03DC2BE9-24E1-4502-9F76-85DF2B1FA5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028664" cy="789267"/>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theermgroup-my.sharepoint.com/personal/lois_sevestre_erm_com/Documents/ISC%20-%202023%20-%20(INTERNAL)%20Biomass%20guidelines%20project%20(TH,%20VN,%20CB)/6%20-%20Deliverables/3%20-%20Risk%20Assessment%20Tool/Risk%20Assessment%20Tool_Vi.xlsx" TargetMode="External"/><Relationship Id="rId1" Type="http://schemas.openxmlformats.org/officeDocument/2006/relationships/externalLinkPath" Target="/personal/lois_sevestre_erm_com/Documents/Microsoft%20Teams%20Chat%20Files/Risk%20Assessment%20Tool_V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structions"/>
      <sheetName val="Screening questions"/>
      <sheetName val="Lists"/>
      <sheetName val="Applicability Matrix"/>
      <sheetName val="Screening (2)"/>
      <sheetName val="Assessment Questions (Opt 1)"/>
      <sheetName val="Assessment Questions (Opt 2)"/>
      <sheetName val="Results"/>
      <sheetName val="Sheet3"/>
    </sheetNames>
    <sheetDataSet>
      <sheetData sheetId="0"/>
      <sheetData sheetId="1"/>
      <sheetData sheetId="2">
        <row r="5">
          <cell r="G5" t="str">
            <v>See Techincal Guidance on Biomass for Specifications of each Biomass type</v>
          </cell>
        </row>
      </sheetData>
      <sheetData sheetId="3">
        <row r="3">
          <cell r="A3" t="str">
            <v>Gas</v>
          </cell>
          <cell r="H3" t="str">
            <v>Distillation</v>
          </cell>
        </row>
        <row r="4">
          <cell r="A4" t="str">
            <v>Liquid</v>
          </cell>
          <cell r="H4" t="str">
            <v>Transesterification</v>
          </cell>
        </row>
        <row r="5">
          <cell r="A5" t="str">
            <v>Solid</v>
          </cell>
          <cell r="H5" t="str">
            <v>Pyrolysis</v>
          </cell>
        </row>
        <row r="6">
          <cell r="H6" t="str">
            <v>Gasification</v>
          </cell>
        </row>
        <row r="7">
          <cell r="H7" t="str">
            <v>Pelletization</v>
          </cell>
        </row>
        <row r="8">
          <cell r="H8" t="str">
            <v>Anaerobic digestion</v>
          </cell>
        </row>
        <row r="9">
          <cell r="H9" t="str">
            <v>Methanation</v>
          </cell>
        </row>
        <row r="10">
          <cell r="H10" t="str">
            <v>None</v>
          </cell>
        </row>
        <row r="14">
          <cell r="A14" t="str">
            <v>Dedicated Crops</v>
          </cell>
        </row>
        <row r="15">
          <cell r="A15" t="str">
            <v>Residues from agricultural processes</v>
          </cell>
        </row>
        <row r="16">
          <cell r="A16" t="str">
            <v>Wood from forest</v>
          </cell>
        </row>
        <row r="17">
          <cell r="A17" t="str">
            <v>Organic waste</v>
          </cell>
        </row>
        <row r="18">
          <cell r="A18" t="str">
            <v>Animal manures</v>
          </cell>
        </row>
      </sheetData>
      <sheetData sheetId="4">
        <row r="2">
          <cell r="L2" t="str">
            <v>Wood from forest</v>
          </cell>
        </row>
      </sheetData>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D1D911-6FFA-49D8-9EE3-672ED3CFE110}" name="Table1" displayName="Table1" ref="C2:C6" totalsRowShown="0">
  <tableColumns count="1">
    <tableColumn id="1" xr3:uid="{63120208-412D-4F2E-8CD7-3A52D9E5E6F0}" name="Final Product typ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5CAA937-94DD-4CA8-B6F8-FC2FAB9DA0BB}" name="Table2" displayName="Table2" ref="D2:D6" totalsRowShown="0">
  <tableColumns count="1">
    <tableColumn id="1" xr3:uid="{C55EFC04-C984-4D43-AEF9-F37B610BDB51}" name="Gas"/>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985BC6D-59E4-48A5-9D67-CC589F2639DE}" name="Table3" displayName="Table3" ref="E2:E5" totalsRowShown="0">
  <tableColumns count="1">
    <tableColumn id="1" xr3:uid="{8C5BC5E0-D97D-48E2-910A-775E7F9D52CE}" name="Liquid"/>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B80A7B8-9146-4460-8D8A-F17CE5CA80F5}" name="Table4" displayName="Table4" ref="F2:F10" totalsRowShown="0">
  <tableColumns count="1">
    <tableColumn id="1" xr3:uid="{9A209D07-1B48-45DA-B763-08A05305CF4F}" name="Solid"/>
  </tableColumns>
  <tableStyleInfo name="TableStyleLight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2AB55C-ED07-4371-B787-E912D229A264}" name="Table5" displayName="Table5" ref="J2:J13" totalsRowShown="0">
  <tableColumns count="1">
    <tableColumn id="1" xr3:uid="{4202DF0F-26CD-4C80-903A-E27ADA71B6B2}" name="Treatment"/>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globalhungerindex.org/ranking.html" TargetMode="External"/><Relationship Id="rId3" Type="http://schemas.openxmlformats.org/officeDocument/2006/relationships/hyperlink" Target="https://www.protectedplanet.net/en/thematic-areas/wdpa?tab=WDPA" TargetMode="External"/><Relationship Id="rId7" Type="http://schemas.openxmlformats.org/officeDocument/2006/relationships/hyperlink" Target="https://ourworldindata.org/child-labor" TargetMode="External"/><Relationship Id="rId2" Type="http://schemas.openxmlformats.org/officeDocument/2006/relationships/hyperlink" Target="http://www.globalforestwatch.org/" TargetMode="External"/><Relationship Id="rId1" Type="http://schemas.openxmlformats.org/officeDocument/2006/relationships/hyperlink" Target="https://www.carbonfootprint.com/international_electricity_factors.html" TargetMode="External"/><Relationship Id="rId6" Type="http://schemas.openxmlformats.org/officeDocument/2006/relationships/hyperlink" Target="https://joshuaproject.net/" TargetMode="External"/><Relationship Id="rId11" Type="http://schemas.openxmlformats.org/officeDocument/2006/relationships/drawing" Target="../drawings/drawing8.xml"/><Relationship Id="rId5" Type="http://schemas.openxmlformats.org/officeDocument/2006/relationships/hyperlink" Target="http://www.wri.org/aqueduct" TargetMode="External"/><Relationship Id="rId10" Type="http://schemas.openxmlformats.org/officeDocument/2006/relationships/printerSettings" Target="../printerSettings/printerSettings10.bin"/><Relationship Id="rId4" Type="http://schemas.openxmlformats.org/officeDocument/2006/relationships/hyperlink" Target="https://www.worldometers.info/food-agriculture/pesticides-by-country/" TargetMode="External"/><Relationship Id="rId9" Type="http://schemas.openxmlformats.org/officeDocument/2006/relationships/hyperlink" Target="https://hdr.undp.org/data-center/country-insights"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globalhungerindex.org/ranking.html" TargetMode="External"/><Relationship Id="rId3" Type="http://schemas.openxmlformats.org/officeDocument/2006/relationships/hyperlink" Target="https://www.protectedplanet.net/en/thematic-areas/wdpa?tab=WDPA" TargetMode="External"/><Relationship Id="rId7" Type="http://schemas.openxmlformats.org/officeDocument/2006/relationships/hyperlink" Target="https://ourworldindata.org/child-labor" TargetMode="External"/><Relationship Id="rId2" Type="http://schemas.openxmlformats.org/officeDocument/2006/relationships/hyperlink" Target="http://www.globalforestwatch.org/" TargetMode="External"/><Relationship Id="rId1" Type="http://schemas.openxmlformats.org/officeDocument/2006/relationships/hyperlink" Target="https://www.carbonfootprint.com/international_electricity_factors.html" TargetMode="External"/><Relationship Id="rId6" Type="http://schemas.openxmlformats.org/officeDocument/2006/relationships/hyperlink" Target="https://joshuaproject.net/" TargetMode="External"/><Relationship Id="rId5" Type="http://schemas.openxmlformats.org/officeDocument/2006/relationships/hyperlink" Target="http://www.wri.org/aqueduct" TargetMode="External"/><Relationship Id="rId10" Type="http://schemas.openxmlformats.org/officeDocument/2006/relationships/drawing" Target="../drawings/drawing9.xml"/><Relationship Id="rId4" Type="http://schemas.openxmlformats.org/officeDocument/2006/relationships/hyperlink" Target="https://www.worldometers.info/food-agriculture/pesticides-by-country/" TargetMode="External"/><Relationship Id="rId9" Type="http://schemas.openxmlformats.org/officeDocument/2006/relationships/hyperlink" Target="https://hdr.undp.org/data-center/country-insight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wri.org/aqueduct" TargetMode="External"/><Relationship Id="rId7" Type="http://schemas.openxmlformats.org/officeDocument/2006/relationships/printerSettings" Target="../printerSettings/printerSettings2.bin"/><Relationship Id="rId2" Type="http://schemas.openxmlformats.org/officeDocument/2006/relationships/hyperlink" Target="http://www.globalforestwatch.org/" TargetMode="External"/><Relationship Id="rId1" Type="http://schemas.openxmlformats.org/officeDocument/2006/relationships/hyperlink" Target="https://www.becoop-project.eu/wp-content/uploads/Biomass-Direct-Heating.pdf" TargetMode="External"/><Relationship Id="rId6" Type="http://schemas.openxmlformats.org/officeDocument/2006/relationships/hyperlink" Target="https://thinkhazard.org/en/" TargetMode="External"/><Relationship Id="rId5" Type="http://schemas.openxmlformats.org/officeDocument/2006/relationships/hyperlink" Target="https://www.fao.org/faostat/en/" TargetMode="External"/><Relationship Id="rId4" Type="http://schemas.openxmlformats.org/officeDocument/2006/relationships/hyperlink" Target="https://ourworldindata.org/child-labo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protectedplanet.net/en/thematic-areas/wdpa?tab=WDPA" TargetMode="External"/><Relationship Id="rId3" Type="http://schemas.openxmlformats.org/officeDocument/2006/relationships/hyperlink" Target="https://www.worldometers.info/food-agriculture/pesticides-by-country/" TargetMode="External"/><Relationship Id="rId7" Type="http://schemas.openxmlformats.org/officeDocument/2006/relationships/hyperlink" Target="https://hdr.undp.org/inequality-adjusted-human-development-index" TargetMode="External"/><Relationship Id="rId2" Type="http://schemas.openxmlformats.org/officeDocument/2006/relationships/hyperlink" Target="http://www.globalforestwatch.org/" TargetMode="External"/><Relationship Id="rId1" Type="http://schemas.openxmlformats.org/officeDocument/2006/relationships/hyperlink" Target="https://www.carbonfootprint.com/international_electricity_factors.html" TargetMode="External"/><Relationship Id="rId6" Type="http://schemas.openxmlformats.org/officeDocument/2006/relationships/hyperlink" Target="https://www.globalhungerindex.org/ranking.html" TargetMode="External"/><Relationship Id="rId5" Type="http://schemas.openxmlformats.org/officeDocument/2006/relationships/hyperlink" Target="https://joshuaproject.net/" TargetMode="External"/><Relationship Id="rId10" Type="http://schemas.openxmlformats.org/officeDocument/2006/relationships/drawing" Target="../drawings/drawing5.xml"/><Relationship Id="rId4" Type="http://schemas.openxmlformats.org/officeDocument/2006/relationships/hyperlink" Target="http://www.wri.org/aqueduct" TargetMode="External"/><Relationship Id="rId9"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s://hdr.undp.org/inequality-adjusted-human-development-index" TargetMode="External"/><Relationship Id="rId3" Type="http://schemas.openxmlformats.org/officeDocument/2006/relationships/hyperlink" Target="https://www.protectedplanet.net/en/thematic-areas/wdpa?tab=WDPA" TargetMode="External"/><Relationship Id="rId7" Type="http://schemas.openxmlformats.org/officeDocument/2006/relationships/hyperlink" Target="https://www.globalhungerindex.org/ranking.html" TargetMode="External"/><Relationship Id="rId2" Type="http://schemas.openxmlformats.org/officeDocument/2006/relationships/hyperlink" Target="http://www.globalforestwatch.org/" TargetMode="External"/><Relationship Id="rId1" Type="http://schemas.openxmlformats.org/officeDocument/2006/relationships/hyperlink" Target="https://www.carbonfootprint.com/international_electricity_factors.html" TargetMode="External"/><Relationship Id="rId6" Type="http://schemas.openxmlformats.org/officeDocument/2006/relationships/hyperlink" Target="https://joshuaproject.net/" TargetMode="External"/><Relationship Id="rId5" Type="http://schemas.openxmlformats.org/officeDocument/2006/relationships/hyperlink" Target="http://www.wri.org/aqueduct" TargetMode="External"/><Relationship Id="rId10" Type="http://schemas.openxmlformats.org/officeDocument/2006/relationships/drawing" Target="../drawings/drawing6.xml"/><Relationship Id="rId4" Type="http://schemas.openxmlformats.org/officeDocument/2006/relationships/hyperlink" Target="https://www.worldometers.info/food-agriculture/pesticides-by-country/" TargetMode="External"/><Relationship Id="rId9"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E7D2A-BA23-4263-8A3A-499D65AE8976}">
  <sheetPr codeName="Sheet1">
    <tabColor rgb="FF7030A0"/>
  </sheetPr>
  <dimension ref="A1:O37"/>
  <sheetViews>
    <sheetView zoomScale="55" zoomScaleNormal="55" workbookViewId="0">
      <selection activeCell="C8" sqref="C8"/>
    </sheetView>
  </sheetViews>
  <sheetFormatPr defaultColWidth="8.7109375" defaultRowHeight="14.25" x14ac:dyDescent="0.2"/>
  <cols>
    <col min="1" max="1" width="8.7109375" style="11"/>
    <col min="2" max="2" width="32.28515625" style="11" customWidth="1"/>
    <col min="3" max="3" width="22.28515625" style="11" customWidth="1"/>
    <col min="4" max="4" width="27.85546875" style="11" customWidth="1"/>
    <col min="5" max="16384" width="8.7109375" style="11"/>
  </cols>
  <sheetData>
    <row r="1" spans="1:15" ht="14.45" customHeight="1" x14ac:dyDescent="0.2">
      <c r="A1" s="440" t="s">
        <v>636</v>
      </c>
      <c r="B1" s="440"/>
      <c r="C1" s="440"/>
      <c r="D1" s="440"/>
      <c r="E1" s="440"/>
      <c r="F1" s="440"/>
      <c r="G1" s="440"/>
      <c r="H1" s="440"/>
      <c r="I1" s="440"/>
      <c r="J1" s="440"/>
      <c r="K1" s="440"/>
      <c r="L1" s="440"/>
      <c r="M1" s="440"/>
      <c r="N1" s="440"/>
    </row>
    <row r="2" spans="1:15" ht="14.45" customHeight="1" x14ac:dyDescent="0.25">
      <c r="A2" s="440"/>
      <c r="B2" s="440"/>
      <c r="C2" s="440"/>
      <c r="D2" s="440"/>
      <c r="E2" s="440"/>
      <c r="F2" s="440"/>
      <c r="G2" s="440"/>
      <c r="H2" s="440"/>
      <c r="I2" s="440"/>
      <c r="J2" s="440"/>
      <c r="K2" s="440"/>
      <c r="L2" s="440"/>
      <c r="M2" s="440"/>
      <c r="N2" s="440"/>
      <c r="O2"/>
    </row>
    <row r="3" spans="1:15" ht="14.1" customHeight="1" x14ac:dyDescent="0.2">
      <c r="A3" s="440"/>
      <c r="B3" s="440"/>
      <c r="C3" s="440"/>
      <c r="D3" s="440"/>
      <c r="E3" s="440"/>
      <c r="F3" s="440"/>
      <c r="G3" s="440"/>
      <c r="H3" s="440"/>
      <c r="I3" s="440"/>
      <c r="J3" s="440"/>
      <c r="K3" s="440"/>
      <c r="L3" s="440"/>
      <c r="M3" s="440"/>
      <c r="N3" s="440"/>
    </row>
    <row r="4" spans="1:15" ht="20.100000000000001" customHeight="1" x14ac:dyDescent="0.2">
      <c r="A4" s="440"/>
      <c r="B4" s="440"/>
      <c r="C4" s="440"/>
      <c r="D4" s="440"/>
      <c r="E4" s="440"/>
      <c r="F4" s="440"/>
      <c r="G4" s="440"/>
      <c r="H4" s="440"/>
      <c r="I4" s="440"/>
      <c r="J4" s="440"/>
      <c r="K4" s="440"/>
      <c r="L4" s="440"/>
      <c r="M4" s="440"/>
      <c r="N4" s="440"/>
    </row>
    <row r="5" spans="1:15" ht="14.1" customHeight="1" x14ac:dyDescent="0.2">
      <c r="A5" s="440"/>
      <c r="B5" s="440"/>
      <c r="C5" s="440"/>
      <c r="D5" s="440"/>
      <c r="E5" s="440"/>
      <c r="F5" s="440"/>
      <c r="G5" s="440"/>
      <c r="H5" s="440"/>
      <c r="I5" s="440"/>
      <c r="J5" s="440"/>
      <c r="K5" s="440"/>
      <c r="L5" s="440"/>
      <c r="M5" s="440"/>
      <c r="N5" s="440"/>
    </row>
    <row r="6" spans="1:15" ht="18" x14ac:dyDescent="0.25">
      <c r="A6" s="69"/>
      <c r="B6" s="75" t="s">
        <v>0</v>
      </c>
      <c r="C6" s="73" t="s">
        <v>686</v>
      </c>
      <c r="D6" s="70"/>
      <c r="E6" s="70"/>
      <c r="F6" s="70"/>
      <c r="G6" s="70"/>
      <c r="H6" s="70"/>
      <c r="I6" s="70"/>
      <c r="J6" s="70"/>
      <c r="K6" s="70"/>
      <c r="L6" s="70"/>
      <c r="M6" s="70"/>
      <c r="N6" s="69"/>
    </row>
    <row r="7" spans="1:15" ht="18" x14ac:dyDescent="0.25">
      <c r="A7" s="69"/>
      <c r="B7" s="76" t="s">
        <v>1</v>
      </c>
      <c r="C7" s="74">
        <v>45264</v>
      </c>
      <c r="D7" s="70"/>
      <c r="E7" s="70"/>
      <c r="F7" s="70"/>
      <c r="G7" s="70"/>
      <c r="H7" s="70"/>
      <c r="I7" s="70"/>
      <c r="J7" s="70"/>
      <c r="K7" s="70"/>
      <c r="L7" s="70"/>
      <c r="M7" s="70"/>
      <c r="N7" s="69"/>
    </row>
    <row r="8" spans="1:15" ht="18" x14ac:dyDescent="0.25">
      <c r="A8" s="69"/>
      <c r="B8" s="70"/>
      <c r="C8" s="70"/>
      <c r="D8" s="70"/>
      <c r="E8" s="70"/>
      <c r="F8" s="70"/>
      <c r="G8" s="70"/>
      <c r="H8" s="70"/>
      <c r="I8" s="70"/>
      <c r="J8" s="70"/>
      <c r="K8" s="70"/>
      <c r="L8" s="70"/>
      <c r="M8" s="70"/>
      <c r="N8" s="69"/>
    </row>
    <row r="9" spans="1:15" ht="20.25" customHeight="1" x14ac:dyDescent="0.2">
      <c r="A9" s="69"/>
      <c r="B9" s="438" t="s">
        <v>2</v>
      </c>
      <c r="C9" s="438"/>
      <c r="D9" s="438"/>
      <c r="E9" s="438"/>
      <c r="F9" s="438"/>
      <c r="G9" s="438"/>
      <c r="H9" s="438"/>
      <c r="I9" s="438"/>
      <c r="J9" s="438"/>
      <c r="K9" s="438"/>
      <c r="L9" s="438"/>
      <c r="M9" s="438"/>
      <c r="N9" s="69"/>
    </row>
    <row r="10" spans="1:15" ht="135" customHeight="1" x14ac:dyDescent="0.2">
      <c r="A10" s="69"/>
      <c r="B10" s="444" t="s">
        <v>635</v>
      </c>
      <c r="C10" s="445"/>
      <c r="D10" s="445"/>
      <c r="E10" s="445"/>
      <c r="F10" s="445"/>
      <c r="G10" s="445"/>
      <c r="H10" s="445"/>
      <c r="I10" s="445"/>
      <c r="J10" s="445"/>
      <c r="K10" s="445"/>
      <c r="L10" s="445"/>
      <c r="M10" s="446"/>
      <c r="N10" s="69"/>
    </row>
    <row r="11" spans="1:15" ht="15.6" customHeight="1" x14ac:dyDescent="0.25">
      <c r="A11" s="69"/>
      <c r="B11" s="71"/>
      <c r="C11" s="71"/>
      <c r="D11" s="71"/>
      <c r="E11" s="71"/>
      <c r="F11" s="71"/>
      <c r="G11" s="71"/>
      <c r="H11" s="71"/>
      <c r="I11" s="71"/>
      <c r="J11" s="71"/>
      <c r="K11" s="71"/>
      <c r="L11" s="71"/>
      <c r="M11" s="70"/>
      <c r="N11" s="69"/>
    </row>
    <row r="12" spans="1:15" ht="27.6" customHeight="1" x14ac:dyDescent="0.2">
      <c r="A12" s="69"/>
      <c r="B12" s="439" t="s">
        <v>3</v>
      </c>
      <c r="C12" s="439"/>
      <c r="D12" s="439"/>
      <c r="E12" s="439"/>
      <c r="F12" s="439"/>
      <c r="G12" s="439"/>
      <c r="H12" s="439"/>
      <c r="I12" s="439"/>
      <c r="J12" s="439"/>
      <c r="K12" s="439"/>
      <c r="L12" s="439"/>
      <c r="M12" s="439"/>
      <c r="N12" s="69"/>
    </row>
    <row r="13" spans="1:15" ht="330" customHeight="1" x14ac:dyDescent="0.2">
      <c r="A13" s="69"/>
      <c r="B13" s="447" t="s">
        <v>637</v>
      </c>
      <c r="C13" s="448"/>
      <c r="D13" s="448"/>
      <c r="E13" s="448"/>
      <c r="F13" s="448"/>
      <c r="G13" s="448"/>
      <c r="H13" s="448"/>
      <c r="I13" s="448"/>
      <c r="J13" s="448"/>
      <c r="K13" s="448"/>
      <c r="L13" s="448"/>
      <c r="M13" s="449"/>
      <c r="N13" s="69"/>
    </row>
    <row r="14" spans="1:15" ht="18" x14ac:dyDescent="0.25">
      <c r="A14" s="69"/>
      <c r="B14" s="205"/>
      <c r="C14" s="205"/>
      <c r="D14" s="205"/>
      <c r="E14" s="205"/>
      <c r="F14" s="205"/>
      <c r="G14" s="205"/>
      <c r="H14" s="205"/>
      <c r="I14" s="205"/>
      <c r="J14" s="205"/>
      <c r="K14" s="205"/>
      <c r="L14" s="205"/>
      <c r="M14" s="205"/>
      <c r="N14" s="69"/>
    </row>
    <row r="15" spans="1:15" ht="44.25" customHeight="1" x14ac:dyDescent="0.2">
      <c r="A15" s="69"/>
      <c r="B15" s="207" t="s">
        <v>522</v>
      </c>
      <c r="C15" s="433" t="s">
        <v>638</v>
      </c>
      <c r="D15" s="434"/>
      <c r="E15" s="434"/>
      <c r="F15" s="434"/>
      <c r="G15" s="434"/>
      <c r="H15" s="434"/>
      <c r="I15" s="434"/>
      <c r="J15" s="434"/>
      <c r="K15" s="434"/>
      <c r="L15" s="434"/>
      <c r="M15" s="434"/>
      <c r="N15" s="69"/>
    </row>
    <row r="16" spans="1:15" ht="18" x14ac:dyDescent="0.25">
      <c r="A16" s="69"/>
      <c r="B16" s="70"/>
      <c r="C16" s="70"/>
      <c r="D16" s="70"/>
      <c r="E16" s="70"/>
      <c r="F16" s="70"/>
      <c r="G16" s="70"/>
      <c r="H16" s="70"/>
      <c r="I16" s="70"/>
      <c r="J16" s="70"/>
      <c r="K16" s="70"/>
      <c r="L16" s="70"/>
      <c r="M16" s="70"/>
      <c r="N16" s="69"/>
    </row>
    <row r="17" spans="1:14" ht="36" customHeight="1" x14ac:dyDescent="0.2">
      <c r="A17" s="69"/>
      <c r="B17" s="207" t="s">
        <v>4</v>
      </c>
      <c r="C17" s="435" t="s">
        <v>5</v>
      </c>
      <c r="D17" s="436"/>
      <c r="E17" s="436"/>
      <c r="F17" s="436"/>
      <c r="G17" s="436"/>
      <c r="H17" s="436"/>
      <c r="I17" s="436"/>
      <c r="J17" s="436"/>
      <c r="K17" s="436"/>
      <c r="L17" s="436"/>
      <c r="M17" s="436"/>
      <c r="N17" s="69"/>
    </row>
    <row r="18" spans="1:14" ht="18" x14ac:dyDescent="0.25">
      <c r="A18" s="69"/>
      <c r="B18" s="70"/>
      <c r="C18" s="70"/>
      <c r="D18" s="70"/>
      <c r="E18" s="70"/>
      <c r="F18" s="70"/>
      <c r="G18" s="70"/>
      <c r="H18" s="70"/>
      <c r="I18" s="70"/>
      <c r="J18" s="70"/>
      <c r="K18" s="70"/>
      <c r="L18" s="70"/>
      <c r="M18" s="70"/>
      <c r="N18" s="69"/>
    </row>
    <row r="19" spans="1:14" ht="26.25" customHeight="1" x14ac:dyDescent="0.2">
      <c r="A19" s="69"/>
      <c r="B19" s="207" t="s">
        <v>6</v>
      </c>
      <c r="C19" s="435" t="s">
        <v>523</v>
      </c>
      <c r="D19" s="436"/>
      <c r="E19" s="436"/>
      <c r="F19" s="436"/>
      <c r="G19" s="436"/>
      <c r="H19" s="436"/>
      <c r="I19" s="436"/>
      <c r="J19" s="436"/>
      <c r="K19" s="436"/>
      <c r="L19" s="436"/>
      <c r="M19" s="436"/>
      <c r="N19" s="69"/>
    </row>
    <row r="20" spans="1:14" ht="18" x14ac:dyDescent="0.25">
      <c r="A20" s="69"/>
      <c r="B20" s="70"/>
      <c r="C20" s="70"/>
      <c r="D20" s="70"/>
      <c r="E20" s="70"/>
      <c r="F20" s="70"/>
      <c r="G20" s="70"/>
      <c r="H20" s="70"/>
      <c r="I20" s="70"/>
      <c r="J20" s="70"/>
      <c r="K20" s="70"/>
      <c r="L20" s="70"/>
      <c r="M20" s="70"/>
      <c r="N20" s="69"/>
    </row>
    <row r="21" spans="1:14" ht="33.950000000000003" customHeight="1" x14ac:dyDescent="0.2">
      <c r="A21" s="69"/>
      <c r="B21" s="206" t="s">
        <v>500</v>
      </c>
      <c r="C21" s="453" t="s">
        <v>685</v>
      </c>
      <c r="D21" s="454"/>
      <c r="E21" s="454"/>
      <c r="F21" s="454"/>
      <c r="G21" s="454"/>
      <c r="H21" s="454"/>
      <c r="I21" s="454"/>
      <c r="J21" s="454"/>
      <c r="K21" s="454"/>
      <c r="L21" s="454"/>
      <c r="M21" s="454"/>
      <c r="N21" s="178"/>
    </row>
    <row r="22" spans="1:14" ht="18" x14ac:dyDescent="0.25">
      <c r="A22" s="69"/>
      <c r="B22" s="70"/>
      <c r="C22" s="177"/>
      <c r="D22" s="177"/>
      <c r="E22" s="177"/>
      <c r="F22" s="177"/>
      <c r="G22" s="70"/>
      <c r="H22" s="70"/>
      <c r="I22" s="70"/>
      <c r="J22" s="70"/>
      <c r="K22" s="70"/>
      <c r="L22" s="70"/>
      <c r="M22" s="70"/>
      <c r="N22" s="69"/>
    </row>
    <row r="23" spans="1:14" ht="310.5" customHeight="1" x14ac:dyDescent="0.2">
      <c r="A23" s="69"/>
      <c r="B23" s="206" t="s">
        <v>501</v>
      </c>
      <c r="C23" s="450" t="s">
        <v>578</v>
      </c>
      <c r="D23" s="436"/>
      <c r="E23" s="436"/>
      <c r="F23" s="436"/>
      <c r="G23" s="436"/>
      <c r="H23" s="436"/>
      <c r="I23" s="436"/>
      <c r="J23" s="436"/>
      <c r="K23" s="436"/>
      <c r="L23" s="436"/>
      <c r="M23" s="436"/>
      <c r="N23" s="69"/>
    </row>
    <row r="24" spans="1:14" ht="24.95" customHeight="1" x14ac:dyDescent="0.25">
      <c r="A24" s="69"/>
      <c r="B24" s="70"/>
      <c r="C24" s="70"/>
      <c r="D24" s="71"/>
      <c r="E24" s="71"/>
      <c r="F24" s="71"/>
      <c r="G24" s="71"/>
      <c r="H24" s="71"/>
      <c r="I24" s="71"/>
      <c r="J24" s="71"/>
      <c r="K24" s="71"/>
      <c r="L24" s="71"/>
      <c r="M24" s="71"/>
      <c r="N24" s="69"/>
    </row>
    <row r="25" spans="1:14" ht="329.25" customHeight="1" x14ac:dyDescent="0.2">
      <c r="A25" s="69"/>
      <c r="B25" s="206" t="s">
        <v>639</v>
      </c>
      <c r="C25" s="451" t="s">
        <v>640</v>
      </c>
      <c r="D25" s="436"/>
      <c r="E25" s="436"/>
      <c r="F25" s="436"/>
      <c r="G25" s="436"/>
      <c r="H25" s="436"/>
      <c r="I25" s="436"/>
      <c r="J25" s="436"/>
      <c r="K25" s="436"/>
      <c r="L25" s="436"/>
      <c r="M25" s="436"/>
      <c r="N25" s="69"/>
    </row>
    <row r="26" spans="1:14" ht="29.1" customHeight="1" x14ac:dyDescent="0.25">
      <c r="A26" s="69"/>
      <c r="B26" s="72"/>
      <c r="C26" s="70"/>
      <c r="D26" s="72"/>
      <c r="E26" s="72"/>
      <c r="F26" s="72"/>
      <c r="G26" s="72"/>
      <c r="H26" s="72"/>
      <c r="I26" s="72"/>
      <c r="J26" s="72"/>
      <c r="K26" s="72"/>
      <c r="L26" s="72"/>
      <c r="M26" s="72"/>
      <c r="N26" s="69"/>
    </row>
    <row r="27" spans="1:14" ht="110.25" customHeight="1" x14ac:dyDescent="0.2">
      <c r="A27" s="69"/>
      <c r="B27" s="206" t="s">
        <v>7</v>
      </c>
      <c r="C27" s="452" t="s">
        <v>641</v>
      </c>
      <c r="D27" s="436"/>
      <c r="E27" s="436"/>
      <c r="F27" s="436"/>
      <c r="G27" s="436"/>
      <c r="H27" s="436"/>
      <c r="I27" s="436"/>
      <c r="J27" s="436"/>
      <c r="K27" s="436"/>
      <c r="L27" s="436"/>
      <c r="M27" s="436"/>
      <c r="N27" s="69"/>
    </row>
    <row r="28" spans="1:14" ht="15" x14ac:dyDescent="0.2">
      <c r="A28" s="69"/>
      <c r="B28" s="68"/>
      <c r="C28" s="68"/>
      <c r="D28" s="68"/>
      <c r="E28" s="68"/>
      <c r="F28" s="68"/>
      <c r="G28" s="68"/>
      <c r="H28" s="68"/>
      <c r="I28" s="68"/>
      <c r="J28" s="68"/>
      <c r="K28" s="68"/>
      <c r="L28" s="68"/>
      <c r="M28" s="68"/>
      <c r="N28" s="69"/>
    </row>
    <row r="29" spans="1:14" ht="15" x14ac:dyDescent="0.2">
      <c r="A29" s="69"/>
      <c r="B29" s="68"/>
      <c r="C29" s="68"/>
      <c r="D29" s="68"/>
      <c r="E29" s="68"/>
      <c r="F29" s="68"/>
      <c r="G29" s="68"/>
      <c r="H29" s="68"/>
      <c r="I29" s="68"/>
      <c r="J29" s="68"/>
      <c r="K29" s="68"/>
      <c r="L29" s="68"/>
      <c r="M29" s="68"/>
      <c r="N29" s="69"/>
    </row>
    <row r="30" spans="1:14" ht="24.95" customHeight="1" x14ac:dyDescent="0.2">
      <c r="A30" s="69"/>
      <c r="B30" s="441" t="s">
        <v>642</v>
      </c>
      <c r="C30" s="441"/>
      <c r="D30" s="441"/>
      <c r="E30" s="441"/>
      <c r="F30" s="441"/>
      <c r="G30" s="441"/>
      <c r="H30" s="441"/>
      <c r="I30" s="441"/>
      <c r="J30" s="441"/>
      <c r="K30" s="441"/>
      <c r="L30" s="441"/>
      <c r="M30" s="441"/>
      <c r="N30" s="69"/>
    </row>
    <row r="31" spans="1:14" ht="18" x14ac:dyDescent="0.25">
      <c r="A31" s="69"/>
      <c r="B31" s="70"/>
      <c r="C31" s="70"/>
      <c r="D31" s="68"/>
      <c r="E31" s="68"/>
      <c r="F31" s="68"/>
      <c r="G31" s="68"/>
      <c r="H31" s="68"/>
      <c r="I31" s="68"/>
      <c r="J31" s="68"/>
      <c r="K31" s="68"/>
      <c r="L31" s="68"/>
      <c r="M31" s="68"/>
      <c r="N31" s="69"/>
    </row>
    <row r="32" spans="1:14" ht="15.75" x14ac:dyDescent="0.25">
      <c r="A32" s="69"/>
      <c r="B32" s="221" t="s">
        <v>624</v>
      </c>
      <c r="C32" s="442" t="s">
        <v>8</v>
      </c>
      <c r="D32" s="442"/>
      <c r="E32" s="442"/>
      <c r="F32" s="442"/>
      <c r="G32" s="442"/>
      <c r="H32" s="442"/>
      <c r="I32" s="442"/>
      <c r="J32" s="442"/>
      <c r="K32" s="442"/>
      <c r="L32" s="442"/>
      <c r="M32" s="442"/>
      <c r="N32" s="69"/>
    </row>
    <row r="33" spans="1:14" ht="30" customHeight="1" x14ac:dyDescent="0.2">
      <c r="A33" s="69"/>
      <c r="B33" s="222" t="s">
        <v>9</v>
      </c>
      <c r="C33" s="827" t="s">
        <v>632</v>
      </c>
      <c r="D33" s="827"/>
      <c r="E33" s="827"/>
      <c r="F33" s="827"/>
      <c r="G33" s="827"/>
      <c r="H33" s="827"/>
      <c r="I33" s="827"/>
      <c r="J33" s="827"/>
      <c r="K33" s="827"/>
      <c r="L33" s="827"/>
      <c r="M33" s="827"/>
      <c r="N33" s="69"/>
    </row>
    <row r="34" spans="1:14" ht="33" customHeight="1" x14ac:dyDescent="0.2">
      <c r="A34" s="69"/>
      <c r="B34" s="223" t="s">
        <v>10</v>
      </c>
      <c r="C34" s="443" t="s">
        <v>633</v>
      </c>
      <c r="D34" s="443"/>
      <c r="E34" s="443"/>
      <c r="F34" s="443"/>
      <c r="G34" s="443"/>
      <c r="H34" s="443"/>
      <c r="I34" s="443"/>
      <c r="J34" s="443"/>
      <c r="K34" s="443"/>
      <c r="L34" s="443"/>
      <c r="M34" s="443"/>
      <c r="N34" s="69"/>
    </row>
    <row r="35" spans="1:14" ht="44.45" customHeight="1" x14ac:dyDescent="0.2">
      <c r="A35" s="69"/>
      <c r="B35" s="224" t="s">
        <v>11</v>
      </c>
      <c r="C35" s="437" t="s">
        <v>634</v>
      </c>
      <c r="D35" s="437"/>
      <c r="E35" s="437"/>
      <c r="F35" s="437"/>
      <c r="G35" s="437"/>
      <c r="H35" s="437"/>
      <c r="I35" s="437"/>
      <c r="J35" s="437"/>
      <c r="K35" s="437"/>
      <c r="L35" s="437"/>
      <c r="M35" s="437"/>
      <c r="N35" s="69"/>
    </row>
    <row r="36" spans="1:14" ht="15" x14ac:dyDescent="0.2">
      <c r="A36" s="69"/>
      <c r="B36" s="68"/>
      <c r="C36" s="68"/>
      <c r="D36" s="68"/>
      <c r="E36" s="68"/>
      <c r="F36" s="68"/>
      <c r="G36" s="68"/>
      <c r="H36" s="68"/>
      <c r="I36" s="68"/>
      <c r="J36" s="68"/>
      <c r="K36" s="68"/>
      <c r="L36" s="68"/>
      <c r="M36" s="69"/>
      <c r="N36" s="69"/>
    </row>
    <row r="37" spans="1:14" x14ac:dyDescent="0.2">
      <c r="A37" s="69"/>
      <c r="B37" s="69"/>
      <c r="C37" s="69"/>
      <c r="D37" s="69"/>
      <c r="E37" s="69"/>
      <c r="F37" s="69"/>
      <c r="G37" s="69"/>
      <c r="H37" s="69"/>
      <c r="I37" s="69"/>
      <c r="J37" s="69"/>
      <c r="K37" s="69"/>
      <c r="L37" s="69"/>
      <c r="M37" s="69"/>
      <c r="N37" s="69"/>
    </row>
  </sheetData>
  <sheetProtection algorithmName="SHA-512" hashValue="G0vfbmmJXIdeiFgsWumBH3v5rw05+yopm7b3n1hZQT9cheizszPYQ+OuMwBmdSBPjg03ehKuxd9LsHceT35U2g==" saltValue="EIZSVoxcckm7nGGyqmvlmQ==" spinCount="100000" sheet="1" objects="1" scenarios="1"/>
  <mergeCells count="17">
    <mergeCell ref="A1:N5"/>
    <mergeCell ref="B30:M30"/>
    <mergeCell ref="C32:M32"/>
    <mergeCell ref="C33:M33"/>
    <mergeCell ref="C34:M34"/>
    <mergeCell ref="B10:M10"/>
    <mergeCell ref="C17:M17"/>
    <mergeCell ref="B13:M13"/>
    <mergeCell ref="C23:M23"/>
    <mergeCell ref="C25:M25"/>
    <mergeCell ref="C27:M27"/>
    <mergeCell ref="C21:M21"/>
    <mergeCell ref="C15:M15"/>
    <mergeCell ref="C19:M19"/>
    <mergeCell ref="C35:M35"/>
    <mergeCell ref="B9:M9"/>
    <mergeCell ref="B12:M12"/>
  </mergeCells>
  <pageMargins left="0.7" right="0.7" top="0.75" bottom="0.75" header="0.3" footer="0.3"/>
  <pageSetup paperSize="9" orientation="portrait" r:id="rId1"/>
  <colBreaks count="1" manualBreakCount="1">
    <brk id="14"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B245A-D619-4CA4-ABBB-2DE3FAD0E035}">
  <sheetPr>
    <tabColor rgb="FF003362"/>
  </sheetPr>
  <dimension ref="A1:P68"/>
  <sheetViews>
    <sheetView showGridLines="0" topLeftCell="B23" zoomScale="40" zoomScaleNormal="40" workbookViewId="0">
      <selection activeCell="F25" sqref="F18:F25"/>
    </sheetView>
  </sheetViews>
  <sheetFormatPr defaultRowHeight="15" x14ac:dyDescent="0.25"/>
  <cols>
    <col min="1" max="1" width="23.42578125" customWidth="1"/>
    <col min="2" max="2" width="23.140625" customWidth="1"/>
    <col min="3" max="3" width="64.5703125" customWidth="1"/>
    <col min="4" max="4" width="32.42578125" customWidth="1"/>
    <col min="5" max="5" width="18.85546875" hidden="1" customWidth="1"/>
    <col min="6" max="6" width="61.7109375" customWidth="1"/>
    <col min="7" max="7" width="63.42578125" customWidth="1"/>
    <col min="8" max="8" width="59.28515625" customWidth="1"/>
    <col min="9" max="9" width="18.85546875" hidden="1" customWidth="1"/>
    <col min="10" max="11" width="15.85546875" hidden="1" customWidth="1"/>
    <col min="12" max="13" width="15.7109375" hidden="1" customWidth="1"/>
    <col min="14" max="14" width="26.28515625" customWidth="1"/>
    <col min="15" max="15" width="28.140625" customWidth="1"/>
  </cols>
  <sheetData>
    <row r="1" spans="1:16" ht="93" customHeight="1" x14ac:dyDescent="0.25">
      <c r="A1" s="746" t="s">
        <v>517</v>
      </c>
      <c r="B1" s="746"/>
      <c r="C1" s="746"/>
      <c r="D1" s="746"/>
      <c r="E1" s="746"/>
      <c r="F1" s="746"/>
      <c r="G1" s="746"/>
      <c r="H1" s="746"/>
      <c r="I1" s="746"/>
      <c r="J1" s="746"/>
      <c r="K1" s="746"/>
      <c r="L1" s="746"/>
      <c r="M1" s="746"/>
      <c r="N1" s="746"/>
      <c r="O1" s="746"/>
      <c r="P1" s="746"/>
    </row>
    <row r="2" spans="1:16" ht="27.95" customHeight="1" x14ac:dyDescent="0.35">
      <c r="A2" s="67"/>
      <c r="B2" s="326" t="s">
        <v>413</v>
      </c>
      <c r="C2" s="327"/>
      <c r="D2" s="747" t="s">
        <v>244</v>
      </c>
      <c r="E2" s="328"/>
      <c r="F2" s="748">
        <f>Overview!D16</f>
        <v>0</v>
      </c>
      <c r="G2" s="748">
        <f>Overview!D17</f>
        <v>0</v>
      </c>
      <c r="H2" s="329"/>
      <c r="I2" s="67"/>
      <c r="J2" s="67"/>
      <c r="K2" s="67"/>
      <c r="L2" s="67"/>
      <c r="M2" s="67"/>
      <c r="N2" s="67"/>
      <c r="O2" s="67"/>
      <c r="P2" s="67"/>
    </row>
    <row r="3" spans="1:16" ht="22.5" customHeight="1" x14ac:dyDescent="0.35">
      <c r="A3" s="67"/>
      <c r="B3" s="330"/>
      <c r="C3" s="331" t="s">
        <v>414</v>
      </c>
      <c r="D3" s="747"/>
      <c r="E3" s="329"/>
      <c r="F3" s="749"/>
      <c r="G3" s="749"/>
      <c r="H3" s="329"/>
      <c r="I3" s="67"/>
      <c r="J3" s="67"/>
      <c r="K3" s="67"/>
      <c r="L3" s="67"/>
      <c r="M3" s="67"/>
      <c r="N3" s="67"/>
      <c r="O3" s="67"/>
      <c r="P3" s="67"/>
    </row>
    <row r="4" spans="1:16" ht="25.5" customHeight="1" x14ac:dyDescent="0.35">
      <c r="A4" s="67"/>
      <c r="B4" s="332"/>
      <c r="C4" s="331" t="s">
        <v>415</v>
      </c>
      <c r="D4" s="747"/>
      <c r="E4" s="333"/>
      <c r="F4" s="749"/>
      <c r="G4" s="749"/>
      <c r="H4" s="329"/>
      <c r="I4" s="67"/>
      <c r="J4" s="67"/>
      <c r="K4" s="67"/>
      <c r="L4" s="67"/>
      <c r="M4" s="67"/>
      <c r="N4" s="67"/>
      <c r="O4" s="67"/>
      <c r="P4" s="67"/>
    </row>
    <row r="5" spans="1:16" ht="27" customHeight="1" x14ac:dyDescent="0.35">
      <c r="A5" s="67"/>
      <c r="B5" s="334"/>
      <c r="C5" s="335" t="s">
        <v>416</v>
      </c>
      <c r="D5" s="747"/>
      <c r="E5" s="333"/>
      <c r="F5" s="750"/>
      <c r="G5" s="750"/>
      <c r="H5" s="329"/>
      <c r="I5" s="67"/>
      <c r="J5" s="67"/>
      <c r="K5" s="67"/>
      <c r="L5" s="67"/>
      <c r="M5" s="67"/>
      <c r="N5" s="67"/>
      <c r="O5" s="67"/>
      <c r="P5" s="67"/>
    </row>
    <row r="6" spans="1:16" ht="27" customHeight="1" x14ac:dyDescent="0.35">
      <c r="A6" s="67"/>
      <c r="B6" s="329"/>
      <c r="C6" s="329"/>
      <c r="D6" s="329"/>
      <c r="E6" s="329"/>
      <c r="F6" s="329"/>
      <c r="G6" s="329"/>
      <c r="H6" s="329"/>
      <c r="I6" s="67"/>
      <c r="J6" s="67"/>
      <c r="K6" s="67"/>
      <c r="L6" s="67"/>
      <c r="M6" s="67"/>
      <c r="N6" s="67"/>
      <c r="O6" s="67"/>
      <c r="P6" s="67"/>
    </row>
    <row r="7" spans="1:16" ht="27" customHeight="1" x14ac:dyDescent="0.35">
      <c r="A7" s="67"/>
      <c r="B7" s="329"/>
      <c r="C7" s="329"/>
      <c r="D7" s="315" t="s">
        <v>15</v>
      </c>
      <c r="E7" s="315" t="s">
        <v>489</v>
      </c>
      <c r="F7" s="733" t="s">
        <v>489</v>
      </c>
      <c r="G7" s="734"/>
      <c r="H7" s="329"/>
      <c r="I7" s="67"/>
      <c r="J7" s="67"/>
      <c r="K7" s="67"/>
      <c r="L7" s="67"/>
      <c r="M7" s="67"/>
      <c r="N7" s="67"/>
      <c r="O7" s="67"/>
      <c r="P7" s="67"/>
    </row>
    <row r="8" spans="1:16" ht="27" customHeight="1" x14ac:dyDescent="0.35">
      <c r="A8" s="67"/>
      <c r="B8" s="329"/>
      <c r="C8" s="336" t="s">
        <v>467</v>
      </c>
      <c r="D8" s="337"/>
      <c r="E8" s="337"/>
      <c r="F8" s="337"/>
      <c r="G8" s="337"/>
      <c r="H8" s="329"/>
      <c r="I8" s="67"/>
      <c r="J8" s="67"/>
      <c r="K8" s="67"/>
      <c r="L8" s="67"/>
      <c r="M8" s="67"/>
      <c r="N8" s="67"/>
      <c r="O8" s="67"/>
      <c r="P8" s="67"/>
    </row>
    <row r="9" spans="1:16" ht="27" customHeight="1" x14ac:dyDescent="0.35">
      <c r="A9" s="67"/>
      <c r="B9" s="329"/>
      <c r="C9" s="430" t="s">
        <v>529</v>
      </c>
      <c r="D9" s="338">
        <f>Overview!$F$27</f>
        <v>0</v>
      </c>
      <c r="E9" s="339"/>
      <c r="F9" s="737">
        <f>Overview!$G$27</f>
        <v>0</v>
      </c>
      <c r="G9" s="737"/>
      <c r="H9" s="329"/>
      <c r="I9" s="67"/>
      <c r="J9" s="67"/>
      <c r="K9" s="67"/>
      <c r="L9" s="67"/>
      <c r="M9" s="67"/>
      <c r="N9" s="67"/>
      <c r="O9" s="67"/>
      <c r="P9" s="67"/>
    </row>
    <row r="10" spans="1:16" ht="29.25" customHeight="1" x14ac:dyDescent="0.35">
      <c r="A10" s="67"/>
      <c r="B10" s="329"/>
      <c r="C10" s="430" t="s">
        <v>528</v>
      </c>
      <c r="D10" s="317">
        <f>Overview!$F$29</f>
        <v>0</v>
      </c>
      <c r="E10" s="340"/>
      <c r="F10" s="737">
        <f>Overview!$G$29</f>
        <v>0</v>
      </c>
      <c r="G10" s="737"/>
      <c r="H10" s="329"/>
      <c r="I10" s="67"/>
      <c r="J10" s="67"/>
      <c r="K10" s="67"/>
      <c r="L10" s="67"/>
      <c r="M10" s="67"/>
      <c r="N10" s="67"/>
      <c r="O10" s="67"/>
      <c r="P10" s="67"/>
    </row>
    <row r="11" spans="1:16" ht="30" customHeight="1" x14ac:dyDescent="0.35">
      <c r="A11" s="67"/>
      <c r="B11" s="329"/>
      <c r="C11" s="336" t="s">
        <v>468</v>
      </c>
      <c r="D11" s="338">
        <f>Overview!$F$32</f>
        <v>0</v>
      </c>
      <c r="E11" s="340"/>
      <c r="F11" s="737">
        <f>Overview!$G$32</f>
        <v>0</v>
      </c>
      <c r="G11" s="737"/>
      <c r="H11" s="329"/>
      <c r="I11" s="67"/>
      <c r="J11" s="67"/>
      <c r="K11" s="67"/>
      <c r="L11" s="67"/>
      <c r="M11" s="67"/>
      <c r="N11" s="67"/>
      <c r="O11" s="67"/>
      <c r="P11" s="67"/>
    </row>
    <row r="12" spans="1:16" ht="24" customHeight="1" x14ac:dyDescent="0.35">
      <c r="A12" s="67"/>
      <c r="B12" s="329"/>
      <c r="C12" s="336" t="s">
        <v>240</v>
      </c>
      <c r="D12" s="338">
        <f>Overview!$F$35</f>
        <v>0</v>
      </c>
      <c r="E12" s="340"/>
      <c r="F12" s="737">
        <f>Overview!$G$35</f>
        <v>0</v>
      </c>
      <c r="G12" s="737"/>
      <c r="H12" s="329"/>
      <c r="I12" s="67"/>
      <c r="J12" s="67"/>
      <c r="K12" s="67"/>
      <c r="L12" s="67"/>
      <c r="M12" s="67"/>
      <c r="N12" s="67"/>
      <c r="O12" s="67"/>
      <c r="P12" s="67"/>
    </row>
    <row r="13" spans="1:16" ht="29.1" customHeight="1" x14ac:dyDescent="0.35">
      <c r="A13" s="67"/>
      <c r="B13" s="329"/>
      <c r="C13" s="336" t="s">
        <v>466</v>
      </c>
      <c r="D13" s="338">
        <f>Overview!$F$38</f>
        <v>0</v>
      </c>
      <c r="E13" s="340"/>
      <c r="F13" s="737">
        <f>Overview!$G$38</f>
        <v>0</v>
      </c>
      <c r="G13" s="737"/>
      <c r="H13" s="329"/>
      <c r="I13" s="67"/>
      <c r="J13" s="67"/>
      <c r="K13" s="67"/>
      <c r="L13" s="67"/>
      <c r="M13" s="67"/>
      <c r="N13" s="67"/>
      <c r="O13" s="67"/>
      <c r="P13" s="67"/>
    </row>
    <row r="14" spans="1:16" ht="27" customHeight="1" x14ac:dyDescent="0.35">
      <c r="A14" s="67"/>
      <c r="B14" s="329"/>
      <c r="C14" s="336" t="s">
        <v>241</v>
      </c>
      <c r="D14" s="338">
        <f>Overview!$F$41</f>
        <v>0</v>
      </c>
      <c r="E14" s="340"/>
      <c r="F14" s="737">
        <f>Overview!$G$41</f>
        <v>0</v>
      </c>
      <c r="G14" s="737"/>
      <c r="H14" s="329"/>
      <c r="I14" s="67"/>
      <c r="J14" s="67"/>
      <c r="K14" s="67"/>
      <c r="L14" s="67"/>
      <c r="M14" s="67"/>
      <c r="N14" s="67"/>
      <c r="O14" s="67"/>
      <c r="P14" s="67"/>
    </row>
    <row r="15" spans="1:16" ht="27" customHeight="1" x14ac:dyDescent="0.35">
      <c r="A15" s="67"/>
      <c r="B15" s="329"/>
      <c r="C15" s="329"/>
      <c r="D15" s="329"/>
      <c r="E15" s="329"/>
      <c r="F15" s="329"/>
      <c r="G15" s="329"/>
      <c r="H15" s="329"/>
      <c r="I15" s="67"/>
      <c r="J15" s="67"/>
      <c r="K15" s="67"/>
      <c r="L15" s="67"/>
      <c r="M15" s="67"/>
      <c r="N15" s="67"/>
      <c r="O15" s="67"/>
      <c r="P15" s="67"/>
    </row>
    <row r="16" spans="1:16" ht="75" customHeight="1" x14ac:dyDescent="0.35">
      <c r="A16" s="67"/>
      <c r="B16" s="329"/>
      <c r="C16" s="341" t="s">
        <v>535</v>
      </c>
      <c r="D16" s="337"/>
      <c r="E16" s="337"/>
      <c r="F16" s="751" t="s">
        <v>442</v>
      </c>
      <c r="G16" s="751"/>
      <c r="H16" s="751"/>
      <c r="I16" s="67"/>
      <c r="J16" s="67"/>
      <c r="K16" s="67"/>
      <c r="L16" s="67"/>
      <c r="M16" s="67"/>
      <c r="N16" s="214"/>
      <c r="O16" s="67"/>
      <c r="P16" s="67"/>
    </row>
    <row r="17" spans="1:16" ht="40.5" x14ac:dyDescent="0.25">
      <c r="A17" s="315" t="s">
        <v>277</v>
      </c>
      <c r="B17" s="315" t="s">
        <v>396</v>
      </c>
      <c r="C17" s="315" t="s">
        <v>278</v>
      </c>
      <c r="D17" s="315" t="s">
        <v>395</v>
      </c>
      <c r="E17" s="315" t="s">
        <v>165</v>
      </c>
      <c r="F17" s="315" t="s">
        <v>417</v>
      </c>
      <c r="G17" s="315" t="s">
        <v>418</v>
      </c>
      <c r="H17" s="315" t="s">
        <v>419</v>
      </c>
      <c r="I17" s="315" t="s">
        <v>420</v>
      </c>
      <c r="J17" s="315" t="s">
        <v>393</v>
      </c>
      <c r="K17" s="315" t="s">
        <v>421</v>
      </c>
      <c r="L17" s="315" t="s">
        <v>422</v>
      </c>
      <c r="M17" s="315" t="s">
        <v>423</v>
      </c>
      <c r="N17" s="316" t="s">
        <v>424</v>
      </c>
      <c r="O17" s="315" t="s">
        <v>425</v>
      </c>
      <c r="P17" s="67"/>
    </row>
    <row r="18" spans="1:16" ht="95.25" customHeight="1" x14ac:dyDescent="0.25">
      <c r="A18" s="721" t="s">
        <v>286</v>
      </c>
      <c r="B18" s="726" t="str">
        <f>VLOOKUP(A18,'2 - Basic Assessment (Opt 1)'!$A$5:$O$28,15,0)</f>
        <v>No answer given</v>
      </c>
      <c r="C18" s="256" t="str">
        <f>Matrix!C4</f>
        <v>Greenhouse gas (GHG) emissions from biomass production, transportation and storage (upstream)</v>
      </c>
      <c r="D18" s="317" t="str">
        <f>VLOOKUP($C18,'2 - Basic Assessment (Opt 1)'!$B$5:$N$28,13,0)</f>
        <v>No answer given</v>
      </c>
      <c r="E18" s="317" t="s">
        <v>168</v>
      </c>
      <c r="F18" s="346"/>
      <c r="G18" s="346"/>
      <c r="H18" s="346"/>
      <c r="I18" s="318">
        <f>VLOOKUP($C18,'2 - Basic Assessment (Opt 1)'!$B$5:$N$40,10,0)</f>
        <v>0</v>
      </c>
      <c r="J18" s="318">
        <f>VLOOKUP($C18,'2 - Basic Assessment (Opt 1)'!$B$5:$N$40,12,0)</f>
        <v>3</v>
      </c>
      <c r="K18" s="756">
        <f>SUM(J18:J20)</f>
        <v>3</v>
      </c>
      <c r="L18" s="317">
        <f>VLOOKUP(F18,Lists!$C$43:$D$82,2,0)+VLOOKUP(G18,Lists!$C$43:$D$82,2,0)+VLOOKUP(H18,Lists!$C$43:$D$82,2,0)</f>
        <v>0</v>
      </c>
      <c r="M18" s="317">
        <f>IF((I18-L18)&lt;0,0,I18-L18)</f>
        <v>0</v>
      </c>
      <c r="N18" s="319" t="str">
        <f>IF(D18="No answer given","No answer given",IF(D18&lt;&gt;"N/A",IF((I18-L18)&lt;=(J18/3),"Low",IF((I18-L18)&gt;(J18*2/3),"High","Medium")),"N/A"))</f>
        <v>No answer given</v>
      </c>
      <c r="O18" s="743" t="str" cm="1">
        <f t="array" ref="O18">IF(COUNTIF(D19:D20,"No answer given")&gt;0,"No answer given",IF((D20="High")+ OR(N20="High",AND(L20&lt;&gt;0,F2=Lists!$G$13,(AND(ISNUMBER((SEARCH("FSC",F20:H20)))=FALSE))))=2,"High Risk",IF(SUM(M18:M20)&lt;=K18/3,"Low Risk",IF(SUM(M18:M20)&gt;K18*2/3,"High Risk","Medium Risk"))))</f>
        <v>No answer given</v>
      </c>
      <c r="P18" s="67"/>
    </row>
    <row r="19" spans="1:16" ht="72" customHeight="1" x14ac:dyDescent="0.25">
      <c r="A19" s="722"/>
      <c r="B19" s="727"/>
      <c r="C19" s="320" t="str">
        <f>Matrix!C5</f>
        <v>GHG emissions from biomass utilization (combustion)</v>
      </c>
      <c r="D19" s="317" t="str">
        <f>VLOOKUP($C19,'2 - Basic Assessment (Opt 1)'!$B$5:$N$28,13,0)</f>
        <v>No answer given</v>
      </c>
      <c r="E19" s="317" t="s">
        <v>173</v>
      </c>
      <c r="F19" s="321"/>
      <c r="G19" s="321"/>
      <c r="H19" s="321"/>
      <c r="I19" s="318">
        <f>VLOOKUP($C19,'2 - Basic Assessment (Opt 1)'!$B$5:$N$40,10,0)</f>
        <v>0</v>
      </c>
      <c r="J19" s="318">
        <f>VLOOKUP($C19,'2 - Basic Assessment (Opt 1)'!$B$5:$N$40,12,0)</f>
        <v>0</v>
      </c>
      <c r="K19" s="741"/>
      <c r="L19" s="317">
        <f>VLOOKUP(F19,Lists!$C$43:$D$82,2,0)+VLOOKUP(G19,Lists!$C$43:$D$82,2,0)+VLOOKUP(H19,Lists!$C$43:$D$82,2,0)</f>
        <v>0</v>
      </c>
      <c r="M19" s="317">
        <f t="shared" ref="M19:M34" si="0">IF((I19-L19)&lt;0,0,I19-L19)</f>
        <v>0</v>
      </c>
      <c r="N19" s="319" t="str">
        <f t="shared" ref="N19:N34" si="1">IF(D19="No answer given","No answer given",IF(D19&lt;&gt;"N/A",IF((I19-L19)&lt;=(J19/3),"Low",IF((I19-L19)&gt;(J19*2/3),"High","Medium")),"N/A"))</f>
        <v>No answer given</v>
      </c>
      <c r="O19" s="744"/>
      <c r="P19" s="67"/>
    </row>
    <row r="20" spans="1:16" ht="92.25" customHeight="1" x14ac:dyDescent="0.25">
      <c r="A20" s="723"/>
      <c r="B20" s="728"/>
      <c r="C20" s="320" t="str">
        <f>Matrix!C6</f>
        <v>Impact on carbon sinks (such as deforestation)</v>
      </c>
      <c r="D20" s="317" t="str">
        <f>VLOOKUP($C20,'2 - Basic Assessment (Opt 1)'!$B$5:$N$28,13,0)</f>
        <v>No answer given</v>
      </c>
      <c r="E20" s="317" t="s">
        <v>177</v>
      </c>
      <c r="F20" s="321"/>
      <c r="G20" s="321"/>
      <c r="H20" s="321"/>
      <c r="I20" s="318">
        <f>VLOOKUP($C20,'2 - Basic Assessment (Opt 1)'!$B$5:$N$40,10,0)</f>
        <v>0</v>
      </c>
      <c r="J20" s="318">
        <f>VLOOKUP($C20,'2 - Basic Assessment (Opt 1)'!$B$5:$N$40,12,0)</f>
        <v>0</v>
      </c>
      <c r="K20" s="742"/>
      <c r="L20" s="317">
        <f>VLOOKUP(F20,Lists!$C$43:$D$82,2,0)+VLOOKUP(G20,Lists!$C$43:$D$82,2,0)+VLOOKUP(H20,Lists!$C$43:$D$82,2,0)</f>
        <v>0</v>
      </c>
      <c r="M20" s="317">
        <f t="shared" si="0"/>
        <v>0</v>
      </c>
      <c r="N20" s="319" t="str">
        <f t="shared" si="1"/>
        <v>No answer given</v>
      </c>
      <c r="O20" s="745"/>
      <c r="P20" s="67"/>
    </row>
    <row r="21" spans="1:16" ht="92.45" customHeight="1" x14ac:dyDescent="0.25">
      <c r="A21" s="730" t="s">
        <v>268</v>
      </c>
      <c r="B21" s="726" t="str">
        <f>VLOOKUP(A21,'2 - Basic Assessment (Opt 1)'!$A$5:$O$28,15,0)</f>
        <v>No answer given</v>
      </c>
      <c r="C21" s="322" t="str">
        <f>Matrix!C7</f>
        <v>Loss of natural habitats causing loss of biodiversity (such as deforestation) from land-use change (LUC) and indirect land-use change (ILUC)</v>
      </c>
      <c r="D21" s="317" t="str">
        <f>VLOOKUP($C21,'2 - Basic Assessment (Opt 1)'!$B$5:$N$28,13,0)</f>
        <v>No answer given</v>
      </c>
      <c r="E21" s="317" t="s">
        <v>180</v>
      </c>
      <c r="F21" s="321"/>
      <c r="G21" s="321"/>
      <c r="H21" s="321"/>
      <c r="I21" s="318">
        <f>VLOOKUP($C21,'2 - Basic Assessment (Opt 1)'!$B$5:$N$40,10,0)</f>
        <v>0</v>
      </c>
      <c r="J21" s="318">
        <f>VLOOKUP($C21,'2 - Basic Assessment (Opt 1)'!$B$5:$N$40,12,0)</f>
        <v>0</v>
      </c>
      <c r="K21" s="740">
        <f>SUM(J21:J24)</f>
        <v>3</v>
      </c>
      <c r="L21" s="317">
        <f>VLOOKUP(F21,Lists!$C$43:$D$82,2,0)+VLOOKUP(G21,Lists!$C$43:$D$82,2,0)+VLOOKUP(H21,Lists!$C$43:$D$82,2,0)</f>
        <v>0</v>
      </c>
      <c r="M21" s="317">
        <f t="shared" si="0"/>
        <v>0</v>
      </c>
      <c r="N21" s="319" t="str">
        <f t="shared" si="1"/>
        <v>No answer given</v>
      </c>
      <c r="O21" s="743" t="str" cm="1">
        <f t="array" ref="O21">IF(COUNTIF(D21:D24,"No answer given")&gt;0,"No answer given",IF((D21="High")+ OR(N21="High",AND(L21&lt;&gt;0,F2=Lists!$G$13,(AND(ISNUMBER((SEARCH("FSC",F21:H21)))=FALSE))))=2,"High Risk",IF(SUM(M21:M24)&lt;=K21/3,"Low Risk",IF(SUM(M21:M24)&gt;K21*2/3,"High Risk","Medium Risk"))))</f>
        <v>No answer given</v>
      </c>
      <c r="P21" s="67"/>
    </row>
    <row r="22" spans="1:16" ht="101.25" customHeight="1" x14ac:dyDescent="0.25">
      <c r="A22" s="731"/>
      <c r="B22" s="727"/>
      <c r="C22" s="322" t="str">
        <f>Matrix!C8</f>
        <v>Loss of biodiversity due to increased use of chemicals (pesticides, herbicides, etc.)</v>
      </c>
      <c r="D22" s="317" t="str">
        <f>VLOOKUP($C22,'2 - Basic Assessment (Opt 1)'!$B$5:$N$28,13,0)</f>
        <v>No answer given</v>
      </c>
      <c r="E22" s="317" t="s">
        <v>183</v>
      </c>
      <c r="F22" s="321"/>
      <c r="G22" s="321"/>
      <c r="H22" s="321"/>
      <c r="I22" s="318">
        <f>VLOOKUP($C22,'2 - Basic Assessment (Opt 1)'!$B$5:$N$40,10,0)</f>
        <v>0</v>
      </c>
      <c r="J22" s="318">
        <f>VLOOKUP($C22,'2 - Basic Assessment (Opt 1)'!$B$5:$N$40,12,0)</f>
        <v>0</v>
      </c>
      <c r="K22" s="741"/>
      <c r="L22" s="317">
        <f>VLOOKUP(F22,Lists!$C$43:$D$82,2,0)+VLOOKUP(G22,Lists!$C$43:$D$82,2,0)+VLOOKUP(H22,Lists!$C$43:$D$82,2,0)</f>
        <v>0</v>
      </c>
      <c r="M22" s="317">
        <f t="shared" si="0"/>
        <v>0</v>
      </c>
      <c r="N22" s="319" t="str">
        <f t="shared" si="1"/>
        <v>No answer given</v>
      </c>
      <c r="O22" s="744"/>
      <c r="P22" s="67"/>
    </row>
    <row r="23" spans="1:16" ht="114" customHeight="1" x14ac:dyDescent="0.25">
      <c r="A23" s="731"/>
      <c r="B23" s="727"/>
      <c r="C23" s="322" t="str">
        <f>Matrix!C9</f>
        <v>Water consumption for biomass production</v>
      </c>
      <c r="D23" s="317" t="str">
        <f>VLOOKUP($C23,'2 - Basic Assessment (Opt 1)'!$B$5:$N$28,13,0)</f>
        <v>No answer given</v>
      </c>
      <c r="E23" s="317" t="s">
        <v>190</v>
      </c>
      <c r="F23" s="321"/>
      <c r="G23" s="321"/>
      <c r="H23" s="321"/>
      <c r="I23" s="318">
        <f>VLOOKUP($C23,'2 - Basic Assessment (Opt 1)'!$B$5:$N$40,10,0)</f>
        <v>0</v>
      </c>
      <c r="J23" s="318">
        <f>VLOOKUP($C23,'2 - Basic Assessment (Opt 1)'!$B$5:$N$40,12,0)</f>
        <v>0</v>
      </c>
      <c r="K23" s="741"/>
      <c r="L23" s="317">
        <f>VLOOKUP(F23,Lists!$C$43:$D$82,2,0)+VLOOKUP(G23,Lists!$C$43:$D$82,2,0)+VLOOKUP(H23,Lists!$C$43:$D$82,2,0)</f>
        <v>0</v>
      </c>
      <c r="M23" s="317">
        <f t="shared" si="0"/>
        <v>0</v>
      </c>
      <c r="N23" s="319" t="str">
        <f t="shared" si="1"/>
        <v>No answer given</v>
      </c>
      <c r="O23" s="744"/>
      <c r="P23" s="67"/>
    </row>
    <row r="24" spans="1:16" ht="89.25" customHeight="1" x14ac:dyDescent="0.25">
      <c r="A24" s="731"/>
      <c r="B24" s="728"/>
      <c r="C24" s="256" t="str">
        <f>Matrix!C10</f>
        <v>Water &amp; soil contamination</v>
      </c>
      <c r="D24" s="317" t="str">
        <f>VLOOKUP($C24,'2 - Basic Assessment (Opt 1)'!$B$5:$N$28,13,0)</f>
        <v>No answer given</v>
      </c>
      <c r="E24" s="317" t="s">
        <v>196</v>
      </c>
      <c r="F24" s="321"/>
      <c r="G24" s="321"/>
      <c r="H24" s="321"/>
      <c r="I24" s="318">
        <f>VLOOKUP($C24,'2 - Basic Assessment (Opt 1)'!$B$5:$N$40,10,0)</f>
        <v>0</v>
      </c>
      <c r="J24" s="318">
        <f>VLOOKUP($C24,'2 - Basic Assessment (Opt 1)'!$B$5:$N$40,12,0)</f>
        <v>3</v>
      </c>
      <c r="K24" s="742"/>
      <c r="L24" s="317">
        <f>VLOOKUP(F24,Lists!$C$43:$D$82,2,0)+VLOOKUP(G24,Lists!$C$43:$D$82,2,0)+VLOOKUP(H24,Lists!$C$43:$D$82,2,0)</f>
        <v>0</v>
      </c>
      <c r="M24" s="317">
        <f t="shared" si="0"/>
        <v>0</v>
      </c>
      <c r="N24" s="319" t="str">
        <f t="shared" si="1"/>
        <v>No answer given</v>
      </c>
      <c r="O24" s="745"/>
      <c r="P24" s="67"/>
    </row>
    <row r="25" spans="1:16" ht="139.5" customHeight="1" x14ac:dyDescent="0.25">
      <c r="A25" s="729" t="s">
        <v>256</v>
      </c>
      <c r="B25" s="726" t="str">
        <f>VLOOKUP(A25,'2 - Basic Assessment (Opt 1)'!$A$5:$O$28,15,0)</f>
        <v>No answer given</v>
      </c>
      <c r="C25" s="292" t="str">
        <f>Matrix!C11</f>
        <v>Open field burning of agricultural waste and wildfires</v>
      </c>
      <c r="D25" s="317" t="str">
        <f>VLOOKUP($C25,'2 - Basic Assessment (Opt 1)'!$B$5:$N$28,13,0)</f>
        <v>No answer given</v>
      </c>
      <c r="E25" s="317" t="s">
        <v>203</v>
      </c>
      <c r="F25" s="321"/>
      <c r="G25" s="321"/>
      <c r="H25" s="321"/>
      <c r="I25" s="318">
        <f>VLOOKUP($C25,'2 - Basic Assessment (Opt 1)'!$B$5:$N$40,10,0)</f>
        <v>0</v>
      </c>
      <c r="J25" s="318">
        <f>VLOOKUP($C25,'2 - Basic Assessment (Opt 1)'!$B$5:$N$40,12,0)</f>
        <v>0</v>
      </c>
      <c r="K25" s="740">
        <f>SUM(J25:J27)</f>
        <v>6</v>
      </c>
      <c r="L25" s="317">
        <f>VLOOKUP(F25,Lists!$C$43:$D$82,2,0)+VLOOKUP(G25,Lists!$C$43:$D$82,2,0)+VLOOKUP(H25,Lists!$C$43:$D$82,2,0)</f>
        <v>0</v>
      </c>
      <c r="M25" s="317">
        <f t="shared" si="0"/>
        <v>0</v>
      </c>
      <c r="N25" s="319" t="str">
        <f>IF(D25="No answer given","No answer given",IF(D25&lt;&gt;"N/A",IF((I25-L25)&lt;=(J25/3),"Low",IF((I25-L25)&gt;(J25*2/3),"High","Medium")),"N/A"))</f>
        <v>No answer given</v>
      </c>
      <c r="O25" s="743" t="str">
        <f>IF(D25="No answer given",D25,IF(SUM(M25:M27)&lt;=K25/3,"Low Risk",IF(SUM(M25:M27)&gt;K25*2/3,"High Risk","Medium Risk")))</f>
        <v>No answer given</v>
      </c>
      <c r="P25" s="67"/>
    </row>
    <row r="26" spans="1:16" ht="110.25" customHeight="1" x14ac:dyDescent="0.25">
      <c r="A26" s="729"/>
      <c r="B26" s="727"/>
      <c r="C26" s="256" t="str">
        <f>Matrix!C12</f>
        <v>Air contaminants emissions during production processes</v>
      </c>
      <c r="D26" s="317" t="str">
        <f>VLOOKUP($C26,'2 - Basic Assessment (Opt 1)'!$B$5:$N$28,13,0)</f>
        <v>No answer given</v>
      </c>
      <c r="E26" s="317" t="s">
        <v>205</v>
      </c>
      <c r="F26" s="321"/>
      <c r="G26" s="321"/>
      <c r="H26" s="321"/>
      <c r="I26" s="318">
        <f>VLOOKUP($C26,'2 - Basic Assessment (Opt 1)'!$B$5:$N$40,10,0)</f>
        <v>0</v>
      </c>
      <c r="J26" s="318">
        <f>VLOOKUP($C26,'2 - Basic Assessment (Opt 1)'!$B$5:$N$40,12,0)</f>
        <v>3</v>
      </c>
      <c r="K26" s="741"/>
      <c r="L26" s="317">
        <f>VLOOKUP(F26,Lists!$C$43:$D$82,2,0)+VLOOKUP(G26,Lists!$C$43:$D$82,2,0)+VLOOKUP(H26,Lists!$C$43:$D$82,2,0)</f>
        <v>0</v>
      </c>
      <c r="M26" s="317">
        <f t="shared" si="0"/>
        <v>0</v>
      </c>
      <c r="N26" s="319" t="str">
        <f t="shared" si="1"/>
        <v>No answer given</v>
      </c>
      <c r="O26" s="744"/>
      <c r="P26" s="67"/>
    </row>
    <row r="27" spans="1:16" ht="72" customHeight="1" x14ac:dyDescent="0.25">
      <c r="A27" s="729"/>
      <c r="B27" s="728"/>
      <c r="C27" s="256" t="str">
        <f>Matrix!C13</f>
        <v>Air contaminants emissions from biomass combustion</v>
      </c>
      <c r="D27" s="317" t="str">
        <f>VLOOKUP($C27,'2 - Basic Assessment (Opt 1)'!$B$5:$N$28,13,0)</f>
        <v>No answer given</v>
      </c>
      <c r="E27" s="317" t="s">
        <v>208</v>
      </c>
      <c r="F27" s="321"/>
      <c r="G27" s="321"/>
      <c r="H27" s="321"/>
      <c r="I27" s="318">
        <f>VLOOKUP($C27,'2 - Basic Assessment (Opt 1)'!$B$5:$N$40,10,0)</f>
        <v>0</v>
      </c>
      <c r="J27" s="318">
        <f>VLOOKUP($C27,'2 - Basic Assessment (Opt 1)'!$B$5:$N$40,12,0)</f>
        <v>3</v>
      </c>
      <c r="K27" s="742"/>
      <c r="L27" s="317">
        <f>VLOOKUP(F27,Lists!$C$43:$D$82,2,0)+VLOOKUP(G27,Lists!$C$43:$D$82,2,0)+VLOOKUP(H27,Lists!$C$43:$D$82,2,0)</f>
        <v>0</v>
      </c>
      <c r="M27" s="317">
        <f t="shared" si="0"/>
        <v>0</v>
      </c>
      <c r="N27" s="319" t="str">
        <f t="shared" si="1"/>
        <v>No answer given</v>
      </c>
      <c r="O27" s="745"/>
      <c r="P27" s="67"/>
    </row>
    <row r="28" spans="1:16" ht="114" customHeight="1" x14ac:dyDescent="0.25">
      <c r="A28" s="752" t="s">
        <v>60</v>
      </c>
      <c r="B28" s="726" t="str">
        <f>VLOOKUP(A28,'2 - Basic Assessment (Opt 1)'!$A$5:$O$28,15,0)</f>
        <v>No answer given</v>
      </c>
      <c r="C28" s="323" t="str">
        <f>Matrix!C14</f>
        <v>Land rights</v>
      </c>
      <c r="D28" s="317" t="str">
        <f>VLOOKUP($C28,'2 - Basic Assessment (Opt 1)'!$B$5:$N$28,13,0)</f>
        <v>No answer given</v>
      </c>
      <c r="E28" s="317" t="s">
        <v>211</v>
      </c>
      <c r="F28" s="321"/>
      <c r="G28" s="321"/>
      <c r="H28" s="321"/>
      <c r="I28" s="318">
        <f>VLOOKUP($C28,'2 - Basic Assessment (Opt 1)'!$B$5:$N$40,10,0)</f>
        <v>0</v>
      </c>
      <c r="J28" s="318">
        <f>VLOOKUP($C28,'2 - Basic Assessment (Opt 1)'!$B$5:$N$40,12,0)</f>
        <v>0</v>
      </c>
      <c r="K28" s="708">
        <f>SUM(J28:J32)</f>
        <v>0</v>
      </c>
      <c r="L28" s="317">
        <f>VLOOKUP(F28,Lists!$C$43:$D$82,2,0)+VLOOKUP(G28,Lists!$C$43:$D$82,2,0)+VLOOKUP(H28,Lists!$C$43:$D$82,2,0)</f>
        <v>0</v>
      </c>
      <c r="M28" s="317">
        <f t="shared" si="0"/>
        <v>0</v>
      </c>
      <c r="N28" s="319" t="str">
        <f t="shared" si="1"/>
        <v>No answer given</v>
      </c>
      <c r="O28" s="743" t="str">
        <f>IF(COUNTIF(D28:D32,"No answer given")&gt;0,"No answer given",IF(AND(D32="High",M32="High"),"High Risk",IF(SUM(M28:M32)&lt;=K28/3,"Low Risk",IF(SUM(M28:M32)&gt;K28*2/3,"High Risk","Medium Risk"))))</f>
        <v>No answer given</v>
      </c>
      <c r="P28" s="67"/>
    </row>
    <row r="29" spans="1:16" ht="123.6" customHeight="1" x14ac:dyDescent="0.25">
      <c r="A29" s="753"/>
      <c r="B29" s="727"/>
      <c r="C29" s="323" t="str">
        <f>Matrix!C15</f>
        <v>Community health and safety</v>
      </c>
      <c r="D29" s="317" t="str">
        <f>VLOOKUP($C29,'2 - Basic Assessment (Opt 1)'!$B$5:$N$28,13,0)</f>
        <v>No answer given</v>
      </c>
      <c r="E29" s="317" t="s">
        <v>214</v>
      </c>
      <c r="F29" s="321"/>
      <c r="G29" s="321"/>
      <c r="H29" s="321"/>
      <c r="I29" s="318">
        <f>VLOOKUP($C29,'2 - Basic Assessment (Opt 1)'!$B$5:$N$40,10,0)</f>
        <v>0</v>
      </c>
      <c r="J29" s="318">
        <f>VLOOKUP($C29,'2 - Basic Assessment (Opt 1)'!$B$5:$N$40,12,0)</f>
        <v>0</v>
      </c>
      <c r="K29" s="708"/>
      <c r="L29" s="317">
        <f>VLOOKUP(F29,Lists!$C$43:$D$82,2,0)+VLOOKUP(G29,Lists!$C$43:$D$82,2,0)+VLOOKUP(H29,Lists!$C$43:$D$82,2,0)</f>
        <v>0</v>
      </c>
      <c r="M29" s="317">
        <f>IF(AVERAGE(M24:M27)-L29&lt;0,0,AVERAGE(M24:M27)-L29)</f>
        <v>0</v>
      </c>
      <c r="N29" s="319" t="str">
        <f>IF(D29="No answer given","No answer given",IF(D29&lt;&gt;"N/A",IF(M29&lt;=(J29/3),"Low",IF(M29&gt;(J29*2/3),"High","Medium")),"N/A"))</f>
        <v>No answer given</v>
      </c>
      <c r="O29" s="744"/>
      <c r="P29" s="67"/>
    </row>
    <row r="30" spans="1:16" ht="110.45" customHeight="1" x14ac:dyDescent="0.25">
      <c r="A30" s="753"/>
      <c r="B30" s="727"/>
      <c r="C30" s="323" t="str">
        <f>Matrix!C16</f>
        <v>Decent remuneration and compensation for workers</v>
      </c>
      <c r="D30" s="317" t="str">
        <f>VLOOKUP($C30,'2 - Basic Assessment (Opt 1)'!$B$5:$N$28,13,0)</f>
        <v>No answer given</v>
      </c>
      <c r="E30" s="317" t="s">
        <v>215</v>
      </c>
      <c r="F30" s="321"/>
      <c r="G30" s="321"/>
      <c r="H30" s="321"/>
      <c r="I30" s="318">
        <f>VLOOKUP($C30,'2 - Basic Assessment (Opt 1)'!$B$5:$N$40,10,0)</f>
        <v>0</v>
      </c>
      <c r="J30" s="318">
        <f>VLOOKUP($C30,'2 - Basic Assessment (Opt 1)'!$B$5:$N$40,12,0)</f>
        <v>0</v>
      </c>
      <c r="K30" s="708"/>
      <c r="L30" s="317">
        <f>VLOOKUP(F30,Lists!$C$43:$D$82,2,0)+VLOOKUP(G30,Lists!$C$43:$D$82,2,0)+VLOOKUP(H30,Lists!$C$43:$D$82,2,0)</f>
        <v>0</v>
      </c>
      <c r="M30" s="317">
        <f t="shared" si="0"/>
        <v>0</v>
      </c>
      <c r="N30" s="319" t="str">
        <f t="shared" si="1"/>
        <v>No answer given</v>
      </c>
      <c r="O30" s="744"/>
      <c r="P30" s="67"/>
    </row>
    <row r="31" spans="1:16" ht="119.25" customHeight="1" x14ac:dyDescent="0.25">
      <c r="A31" s="753"/>
      <c r="B31" s="727"/>
      <c r="C31" s="256" t="str">
        <f>Matrix!C17</f>
        <v>Occupational health and safety</v>
      </c>
      <c r="D31" s="317" t="str">
        <f>VLOOKUP($C31,'2 - Basic Assessment (Opt 1)'!$B$5:$N$28,13,0)</f>
        <v>No answer given</v>
      </c>
      <c r="E31" s="317" t="s">
        <v>217</v>
      </c>
      <c r="F31" s="321"/>
      <c r="G31" s="321"/>
      <c r="H31" s="321"/>
      <c r="I31" s="318">
        <f>VLOOKUP($C31,'2 - Basic Assessment (Opt 1)'!$B$5:$N$40,10,0)</f>
        <v>0</v>
      </c>
      <c r="J31" s="318">
        <f>VLOOKUP($C31,'2 - Basic Assessment (Opt 1)'!$B$5:$N$40,12,0)</f>
        <v>0</v>
      </c>
      <c r="K31" s="708"/>
      <c r="L31" s="317">
        <f>VLOOKUP(F31,Lists!$C$43:$D$82,2,0)+VLOOKUP(G31,Lists!$C$43:$D$82,2,0)+VLOOKUP(H31,Lists!$C$43:$D$82,2,0)</f>
        <v>0</v>
      </c>
      <c r="M31" s="317">
        <f t="shared" si="0"/>
        <v>0</v>
      </c>
      <c r="N31" s="319" t="str">
        <f>IF(D31="No answer given","No answer given",IF(D31&lt;&gt;"N/A",IF(M31&lt;=(J31/3),"Low",IF(M31&gt;(J31*2/3),"High","Medium")),"N/A"))</f>
        <v>No answer given</v>
      </c>
      <c r="O31" s="744"/>
      <c r="P31" s="67"/>
    </row>
    <row r="32" spans="1:16" ht="152.1" customHeight="1" x14ac:dyDescent="0.25">
      <c r="A32" s="754"/>
      <c r="B32" s="728"/>
      <c r="C32" s="323" t="str">
        <f>Matrix!C18</f>
        <v xml:space="preserve">Human rights, child labor and slavery </v>
      </c>
      <c r="D32" s="317" t="str">
        <f>VLOOKUP($C32,'2 - Basic Assessment (Opt 1)'!$B$5:$N$28,13,0)</f>
        <v>No answer given</v>
      </c>
      <c r="E32" s="317" t="s">
        <v>218</v>
      </c>
      <c r="F32" s="321"/>
      <c r="G32" s="321"/>
      <c r="H32" s="321"/>
      <c r="I32" s="318">
        <f>VLOOKUP($C32,'2 - Basic Assessment (Opt 1)'!$B$5:$N$40,10,0)</f>
        <v>0</v>
      </c>
      <c r="J32" s="318">
        <f>VLOOKUP($C32,'2 - Basic Assessment (Opt 1)'!$B$5:$N$40,12,0)</f>
        <v>0</v>
      </c>
      <c r="K32" s="708"/>
      <c r="L32" s="317">
        <f>VLOOKUP(F32,Lists!$C$43:$D$82,2,0)+VLOOKUP(G32,Lists!$C$43:$D$82,2,0)+VLOOKUP(H32,Lists!$C$43:$D$82,2,0)</f>
        <v>0</v>
      </c>
      <c r="M32" s="317">
        <f t="shared" si="0"/>
        <v>0</v>
      </c>
      <c r="N32" s="319" t="str">
        <f t="shared" si="1"/>
        <v>No answer given</v>
      </c>
      <c r="O32" s="745"/>
      <c r="P32" s="67"/>
    </row>
    <row r="33" spans="1:16" ht="103.5" customHeight="1" x14ac:dyDescent="0.25">
      <c r="A33" s="650" t="s">
        <v>275</v>
      </c>
      <c r="B33" s="726" t="str">
        <f>VLOOKUP(A33,'2 - Basic Assessment (Opt 1)'!$A$5:$O$28,15,0)</f>
        <v>No answer given</v>
      </c>
      <c r="C33" s="324" t="str">
        <f>Matrix!C19</f>
        <v>Impact on food availability and price</v>
      </c>
      <c r="D33" s="317" t="str">
        <f>VLOOKUP($C33,'2 - Basic Assessment (Opt 1)'!$B$5:$N$28,13,0)</f>
        <v>No answer given</v>
      </c>
      <c r="E33" s="317" t="s">
        <v>219</v>
      </c>
      <c r="F33" s="321"/>
      <c r="G33" s="321"/>
      <c r="H33" s="321"/>
      <c r="I33" s="318">
        <f>VLOOKUP($C33,'2 - Basic Assessment (Opt 1)'!$B$5:$N$40,10,0)</f>
        <v>0</v>
      </c>
      <c r="J33" s="318">
        <f>VLOOKUP($C33,'2 - Basic Assessment (Opt 1)'!$B$5:$N$40,12,0)</f>
        <v>0</v>
      </c>
      <c r="K33" s="708">
        <f>SUM(J33:J34)</f>
        <v>0</v>
      </c>
      <c r="L33" s="317">
        <f>VLOOKUP(F33,Lists!$C$43:$D$82,2,0)+VLOOKUP(G33,Lists!$C$43:$D$82,2,0)+VLOOKUP(H33,Lists!$C$43:$D$82,2,0)</f>
        <v>0</v>
      </c>
      <c r="M33" s="317">
        <f t="shared" si="0"/>
        <v>0</v>
      </c>
      <c r="N33" s="319" t="str">
        <f t="shared" si="1"/>
        <v>No answer given</v>
      </c>
      <c r="O33" s="743" t="str">
        <f>IF(COUNTIF(D33:D34,"No answer given")&gt;0,"No answer given",IF(AND(D33="High",N33="High"),"High Risk",IF(SUM(M33:M34)&lt;=K33/3,"Low Risk",IF(SUM(M33:M34)&gt;K33*2/3,"High Risk","Medium Risk"))))</f>
        <v>No answer given</v>
      </c>
      <c r="P33" s="67"/>
    </row>
    <row r="34" spans="1:16" ht="106.5" customHeight="1" x14ac:dyDescent="0.25">
      <c r="A34" s="650"/>
      <c r="B34" s="728"/>
      <c r="C34" s="324" t="str">
        <f>Matrix!C20</f>
        <v>Increased and equitable share of revenues &amp; employment opportunities for local communities development</v>
      </c>
      <c r="D34" s="317" t="str">
        <f>VLOOKUP($C34,'2 - Basic Assessment (Opt 1)'!$B$5:$N$28,13,0)</f>
        <v>No answer given</v>
      </c>
      <c r="E34" s="317" t="s">
        <v>223</v>
      </c>
      <c r="F34" s="325"/>
      <c r="G34" s="325"/>
      <c r="H34" s="325"/>
      <c r="I34" s="318">
        <f>VLOOKUP($C34,'2 - Basic Assessment (Opt 1)'!$B$5:$N$40,10,0)</f>
        <v>0</v>
      </c>
      <c r="J34" s="318">
        <f>VLOOKUP($C34,'2 - Basic Assessment (Opt 1)'!$B$5:$N$40,12,0)</f>
        <v>0</v>
      </c>
      <c r="K34" s="654"/>
      <c r="L34" s="317">
        <f>VLOOKUP(F34,Lists!$C$43:$D$82,2,0)+VLOOKUP(G34,Lists!$C$43:$D$82,2,0)+VLOOKUP(H34,Lists!$C$43:$D$82,2,0)</f>
        <v>0</v>
      </c>
      <c r="M34" s="317">
        <f t="shared" si="0"/>
        <v>0</v>
      </c>
      <c r="N34" s="319" t="str">
        <f t="shared" si="1"/>
        <v>No answer given</v>
      </c>
      <c r="O34" s="755"/>
      <c r="P34" s="67"/>
    </row>
    <row r="35" spans="1:16" ht="110.25" customHeight="1" x14ac:dyDescent="0.25">
      <c r="A35" s="176" t="s">
        <v>426</v>
      </c>
      <c r="B35" s="704" t="str">
        <f>IF(COUNTIF(B18:B34,"No answer given")&gt;0,"No answer given",IF(COUNTIF(B18:B34,"High Risk")&gt;0,"Unacceptable without mitigation measures",IF(COUNTIF(D18:D34,"High")&gt;0,"May be acceptable but should implement Mitigation measures",IF(COUNTIF(D18:D34,"Medium")= 0,"Acceptable","Acceptable with mitigation measures"))))</f>
        <v>No answer given</v>
      </c>
      <c r="C35" s="705"/>
      <c r="D35" s="706"/>
      <c r="E35" s="175"/>
      <c r="F35" s="709"/>
      <c r="G35" s="710"/>
      <c r="H35" s="711"/>
      <c r="I35" s="196"/>
      <c r="J35" s="196"/>
      <c r="K35" s="196"/>
      <c r="L35" s="196"/>
      <c r="M35" s="196"/>
      <c r="N35" s="707" t="str">
        <f>IF(F2=Lists!$C$16,"Unacceptable as per criteria set by the Sustainable Biomass Guidelines",IF(COUNTIF(O18:O34,"No answer given")&gt;0,"No answer given",(IF(B35="Acceptable","Acceptable",IF(OR(COUNTIF(O18:O34,"High Risk")&gt;0,AND(F2=Lists!$D$13,N33="Medium")),"Unacceptable",IF((COUNTIF(N18:N34,"Medium")+COUNTIF(N18:N34,"High"))&gt;0,"May be acceptable upon implementation of the selected mitigation measures and further ones to cover High/Medium Risk indicators","Acceptable upon implementation of the selected mitigation measures"))))))</f>
        <v>No answer given</v>
      </c>
      <c r="O35" s="708"/>
      <c r="P35" s="67"/>
    </row>
    <row r="36" spans="1:16" x14ac:dyDescent="0.25">
      <c r="A36" s="67"/>
      <c r="B36" s="67"/>
      <c r="C36" s="67"/>
      <c r="D36" s="67"/>
      <c r="E36" s="67"/>
      <c r="F36" s="67"/>
      <c r="G36" s="67"/>
      <c r="H36" s="67"/>
      <c r="I36" s="67"/>
      <c r="J36" s="67"/>
      <c r="K36" s="67"/>
      <c r="L36" s="67"/>
      <c r="M36" s="67"/>
      <c r="N36" s="67"/>
      <c r="O36" s="67"/>
      <c r="P36" s="67"/>
    </row>
    <row r="37" spans="1:16" x14ac:dyDescent="0.25">
      <c r="A37" s="67"/>
      <c r="B37" s="67"/>
      <c r="C37" s="67"/>
      <c r="D37" s="67"/>
      <c r="E37" s="67"/>
      <c r="F37" s="67"/>
      <c r="G37" s="67"/>
      <c r="H37" s="67"/>
      <c r="I37" s="67"/>
      <c r="J37" s="67"/>
      <c r="K37" s="67"/>
      <c r="L37" s="67"/>
      <c r="M37" s="67"/>
      <c r="N37" s="67"/>
      <c r="O37" s="67"/>
      <c r="P37" s="67"/>
    </row>
    <row r="38" spans="1:16" ht="51.95" customHeight="1" x14ac:dyDescent="0.25">
      <c r="A38" s="67"/>
      <c r="B38" s="67"/>
      <c r="C38" s="67"/>
      <c r="D38" s="220" t="s">
        <v>245</v>
      </c>
      <c r="E38" s="171"/>
      <c r="F38" s="219">
        <f>Overview!E16</f>
        <v>0</v>
      </c>
      <c r="G38" s="195">
        <f>Overview!E17</f>
        <v>0</v>
      </c>
      <c r="H38" s="67"/>
      <c r="I38" s="67"/>
      <c r="J38" s="67"/>
      <c r="K38" s="67"/>
      <c r="L38" s="67"/>
      <c r="M38" s="67"/>
      <c r="N38" s="67"/>
      <c r="O38" s="67"/>
      <c r="P38" s="67"/>
    </row>
    <row r="39" spans="1:16" ht="51.95" customHeight="1" x14ac:dyDescent="0.3">
      <c r="A39" s="358"/>
      <c r="B39" s="358"/>
      <c r="C39" s="358"/>
      <c r="D39" s="359" t="s">
        <v>15</v>
      </c>
      <c r="E39" s="359" t="s">
        <v>489</v>
      </c>
      <c r="F39" s="735" t="s">
        <v>489</v>
      </c>
      <c r="G39" s="736"/>
      <c r="H39" s="67"/>
      <c r="I39" s="67"/>
      <c r="J39" s="67"/>
      <c r="K39" s="67"/>
      <c r="L39" s="67"/>
      <c r="M39" s="67"/>
      <c r="N39" s="67"/>
      <c r="O39" s="358"/>
      <c r="P39" s="67"/>
    </row>
    <row r="40" spans="1:16" ht="33" customHeight="1" x14ac:dyDescent="0.3">
      <c r="A40" s="358"/>
      <c r="B40" s="358"/>
      <c r="C40" s="360" t="s">
        <v>467</v>
      </c>
      <c r="D40" s="358"/>
      <c r="E40" s="358"/>
      <c r="F40" s="358"/>
      <c r="G40" s="358"/>
      <c r="H40" s="67"/>
      <c r="I40" s="67"/>
      <c r="J40" s="67"/>
      <c r="K40" s="67"/>
      <c r="L40" s="67"/>
      <c r="M40" s="67"/>
      <c r="N40" s="67"/>
      <c r="O40" s="358"/>
      <c r="P40" s="67"/>
    </row>
    <row r="41" spans="1:16" ht="27" customHeight="1" x14ac:dyDescent="0.3">
      <c r="A41" s="358"/>
      <c r="B41" s="358"/>
      <c r="C41" s="430" t="s">
        <v>529</v>
      </c>
      <c r="D41" s="361">
        <f>Overview!$F$28</f>
        <v>0</v>
      </c>
      <c r="E41" s="362"/>
      <c r="F41" s="738">
        <f>Overview!$G$28</f>
        <v>0</v>
      </c>
      <c r="G41" s="739"/>
      <c r="H41" s="67"/>
      <c r="I41" s="67"/>
      <c r="J41" s="67"/>
      <c r="K41" s="67"/>
      <c r="L41" s="67"/>
      <c r="M41" s="67"/>
      <c r="N41" s="67"/>
      <c r="O41" s="358"/>
      <c r="P41" s="67"/>
    </row>
    <row r="42" spans="1:16" ht="28.5" customHeight="1" x14ac:dyDescent="0.3">
      <c r="A42" s="358"/>
      <c r="B42" s="358"/>
      <c r="C42" s="430" t="s">
        <v>528</v>
      </c>
      <c r="D42" s="361">
        <f>Overview!$F$30</f>
        <v>0</v>
      </c>
      <c r="E42" s="364"/>
      <c r="F42" s="738">
        <f>Overview!$G$30</f>
        <v>0</v>
      </c>
      <c r="G42" s="739"/>
      <c r="H42" s="67"/>
      <c r="I42" s="67"/>
      <c r="J42" s="67"/>
      <c r="K42" s="67"/>
      <c r="L42" s="67"/>
      <c r="M42" s="67"/>
      <c r="N42" s="67"/>
      <c r="O42" s="358"/>
      <c r="P42" s="67"/>
    </row>
    <row r="43" spans="1:16" ht="29.45" customHeight="1" x14ac:dyDescent="0.3">
      <c r="A43" s="358"/>
      <c r="B43" s="358"/>
      <c r="C43" s="360" t="s">
        <v>468</v>
      </c>
      <c r="D43" s="361">
        <f>Overview!$F$33</f>
        <v>0</v>
      </c>
      <c r="E43" s="364"/>
      <c r="F43" s="738">
        <f>Overview!$G$33</f>
        <v>0</v>
      </c>
      <c r="G43" s="739"/>
      <c r="H43" s="67"/>
      <c r="I43" s="67"/>
      <c r="J43" s="67"/>
      <c r="K43" s="67"/>
      <c r="L43" s="67"/>
      <c r="M43" s="67"/>
      <c r="N43" s="67"/>
      <c r="O43" s="358"/>
      <c r="P43" s="67"/>
    </row>
    <row r="44" spans="1:16" ht="29.45" customHeight="1" x14ac:dyDescent="0.3">
      <c r="A44" s="358"/>
      <c r="B44" s="358"/>
      <c r="C44" s="360" t="s">
        <v>240</v>
      </c>
      <c r="D44" s="361">
        <f>Overview!$F$36</f>
        <v>0</v>
      </c>
      <c r="E44" s="364"/>
      <c r="F44" s="738">
        <f>Overview!$G$36</f>
        <v>0</v>
      </c>
      <c r="G44" s="739"/>
      <c r="H44" s="67"/>
      <c r="I44" s="67"/>
      <c r="J44" s="67"/>
      <c r="K44" s="67"/>
      <c r="L44" s="67"/>
      <c r="M44" s="67"/>
      <c r="N44" s="67"/>
      <c r="O44" s="358"/>
      <c r="P44" s="67"/>
    </row>
    <row r="45" spans="1:16" ht="29.45" customHeight="1" x14ac:dyDescent="0.3">
      <c r="A45" s="358"/>
      <c r="B45" s="358"/>
      <c r="C45" s="360" t="s">
        <v>466</v>
      </c>
      <c r="D45" s="361">
        <f>Overview!$F$39</f>
        <v>0</v>
      </c>
      <c r="E45" s="364"/>
      <c r="F45" s="738">
        <f>Overview!$G$39</f>
        <v>0</v>
      </c>
      <c r="G45" s="739"/>
      <c r="H45" s="67"/>
      <c r="I45" s="67"/>
      <c r="J45" s="67"/>
      <c r="K45" s="67"/>
      <c r="L45" s="67"/>
      <c r="M45" s="67"/>
      <c r="N45" s="67"/>
      <c r="O45" s="358"/>
      <c r="P45" s="67"/>
    </row>
    <row r="46" spans="1:16" ht="24.75" customHeight="1" x14ac:dyDescent="0.3">
      <c r="A46" s="358"/>
      <c r="B46" s="358"/>
      <c r="C46" s="360" t="s">
        <v>241</v>
      </c>
      <c r="D46" s="361">
        <f>Overview!$F$42</f>
        <v>0</v>
      </c>
      <c r="E46" s="364"/>
      <c r="F46" s="738">
        <f>Overview!$G$42</f>
        <v>0</v>
      </c>
      <c r="G46" s="739"/>
      <c r="H46" s="67"/>
      <c r="I46" s="67"/>
      <c r="J46" s="67"/>
      <c r="K46" s="67"/>
      <c r="L46" s="67"/>
      <c r="M46" s="67"/>
      <c r="N46" s="67"/>
      <c r="O46" s="358"/>
      <c r="P46" s="67"/>
    </row>
    <row r="47" spans="1:16" ht="24.75" customHeight="1" x14ac:dyDescent="0.3">
      <c r="A47" s="358"/>
      <c r="B47" s="358"/>
      <c r="C47" s="358"/>
      <c r="D47" s="358"/>
      <c r="E47" s="358"/>
      <c r="F47" s="358"/>
      <c r="G47" s="358"/>
      <c r="H47" s="67"/>
      <c r="I47" s="67"/>
      <c r="J47" s="67"/>
      <c r="K47" s="67"/>
      <c r="L47" s="67"/>
      <c r="M47" s="67"/>
      <c r="N47" s="67"/>
      <c r="O47" s="358"/>
      <c r="P47" s="67"/>
    </row>
    <row r="48" spans="1:16" ht="24.75" customHeight="1" x14ac:dyDescent="0.25">
      <c r="A48" s="67"/>
      <c r="B48" s="67"/>
      <c r="C48" s="67"/>
      <c r="D48" s="67"/>
      <c r="E48" s="67"/>
      <c r="F48" s="67"/>
      <c r="G48" s="67"/>
      <c r="H48" s="67"/>
      <c r="I48" s="67"/>
      <c r="J48" s="67"/>
      <c r="K48" s="67"/>
      <c r="L48" s="67"/>
      <c r="M48" s="67"/>
      <c r="N48" s="67"/>
      <c r="O48" s="67"/>
      <c r="P48" s="67"/>
    </row>
    <row r="49" spans="1:16" ht="42.95" customHeight="1" x14ac:dyDescent="0.25">
      <c r="A49" s="67"/>
      <c r="B49" s="67"/>
      <c r="C49" s="217"/>
      <c r="D49" s="217"/>
      <c r="E49" s="217"/>
      <c r="F49" s="732" t="s">
        <v>442</v>
      </c>
      <c r="G49" s="732"/>
      <c r="H49" s="732"/>
      <c r="I49" s="67"/>
      <c r="J49" s="67"/>
      <c r="K49" s="67"/>
      <c r="L49" s="67"/>
      <c r="M49" s="67"/>
      <c r="N49" s="213"/>
      <c r="O49" s="67"/>
      <c r="P49" s="67"/>
    </row>
    <row r="50" spans="1:16" ht="40.5" x14ac:dyDescent="0.25">
      <c r="A50" s="359" t="s">
        <v>277</v>
      </c>
      <c r="B50" s="359" t="s">
        <v>396</v>
      </c>
      <c r="C50" s="359" t="s">
        <v>278</v>
      </c>
      <c r="D50" s="359" t="s">
        <v>395</v>
      </c>
      <c r="E50" s="359" t="s">
        <v>165</v>
      </c>
      <c r="F50" s="359" t="s">
        <v>417</v>
      </c>
      <c r="G50" s="359" t="s">
        <v>418</v>
      </c>
      <c r="H50" s="359" t="s">
        <v>419</v>
      </c>
      <c r="I50" s="359" t="s">
        <v>420</v>
      </c>
      <c r="J50" s="359" t="s">
        <v>393</v>
      </c>
      <c r="K50" s="359" t="s">
        <v>421</v>
      </c>
      <c r="L50" s="359" t="s">
        <v>422</v>
      </c>
      <c r="M50" s="359" t="s">
        <v>423</v>
      </c>
      <c r="N50" s="378" t="s">
        <v>424</v>
      </c>
      <c r="O50" s="359" t="s">
        <v>425</v>
      </c>
      <c r="P50" s="67"/>
    </row>
    <row r="51" spans="1:16" ht="71.45" customHeight="1" x14ac:dyDescent="0.25">
      <c r="A51" s="721" t="s">
        <v>286</v>
      </c>
      <c r="B51" s="698" t="str">
        <f>VLOOKUP(A51,'2 - Basic Assessment (Opt 2)'!$A$5:$O$28,15,0)</f>
        <v>No answer given</v>
      </c>
      <c r="C51" s="379" t="str">
        <f>'2 - Basic Assessement Results'!C18</f>
        <v>Greenhouse gas (GHG) emissions from biomass production, transportation and storage (upstream)</v>
      </c>
      <c r="D51" s="363" t="str">
        <f>VLOOKUP($C51,'2 - Basic Assessment (Opt 2)'!$B$5:$N$28,13,0)</f>
        <v>No answer given</v>
      </c>
      <c r="E51" s="363" t="s">
        <v>168</v>
      </c>
      <c r="F51" s="346"/>
      <c r="G51" s="346"/>
      <c r="H51" s="346"/>
      <c r="I51" s="367">
        <f>VLOOKUP($C51,'2 - Basic Assessment (Opt 2)'!$B$5:$N$40,10,0)</f>
        <v>0</v>
      </c>
      <c r="J51" s="367">
        <f>VLOOKUP($C51,'2 - Basic Assessment (Opt 2)'!$B$5:$N$40,12,0)</f>
        <v>3</v>
      </c>
      <c r="K51" s="698">
        <f>SUM(J51:J53)</f>
        <v>3</v>
      </c>
      <c r="L51" s="363">
        <f>VLOOKUP(F51,Lists!$C$43:$D$82,2,0)+VLOOKUP(G51,Lists!$C$43:$D$82,2,0)+VLOOKUP(H51,Lists!$C$43:$D$82,2,0)</f>
        <v>0</v>
      </c>
      <c r="M51" s="363">
        <f>IF((I51-L51)&lt;0,0,I51-L51)</f>
        <v>0</v>
      </c>
      <c r="N51" s="368" t="str">
        <f>IF(D51="No answer given","No answer given",IF(D51&lt;&gt;"N/A",IF((I51-L51)&lt;=(J51/3),"Low",IF((I51-L51)&gt;(J51*2/3),"High","Medium")),"N/A"))</f>
        <v>No answer given</v>
      </c>
      <c r="O51" s="702" t="str" cm="1">
        <f t="array" ref="O51">IF(COUNTIF(D52:D53,"No answer given")&gt;0,"No answer given",IF((D53="High")+ OR(N53="High",AND(L53&lt;&gt;0,F35=Lists!$G$13,(AND(ISNUMBER((SEARCH("FSC",F53:H53)))=FALSE))))=2,"High Risk",IF(SUM(M51:M53)&lt;=K51/3,"Low Risk",IF(SUM(M51:M53)&gt;K51*2/3,"High Risk","Medium Risk"))))</f>
        <v>No answer given</v>
      </c>
      <c r="P51" s="67"/>
    </row>
    <row r="52" spans="1:16" ht="72" customHeight="1" x14ac:dyDescent="0.25">
      <c r="A52" s="722"/>
      <c r="B52" s="713"/>
      <c r="C52" s="365" t="str">
        <f>'2 - Basic Assessement Results'!C19</f>
        <v>GHG emissions from biomass utilization (combustion)</v>
      </c>
      <c r="D52" s="363" t="str">
        <f>VLOOKUP($C52,'2 - Basic Assessment (Opt 2)'!$B$5:$N$28,13,0)</f>
        <v>No answer given</v>
      </c>
      <c r="E52" s="363" t="s">
        <v>173</v>
      </c>
      <c r="F52" s="321"/>
      <c r="G52" s="321"/>
      <c r="H52" s="321"/>
      <c r="I52" s="367">
        <f>VLOOKUP($C52,'2 - Basic Assessment (Opt 2)'!$B$5:$N$40,10,0)</f>
        <v>0</v>
      </c>
      <c r="J52" s="367">
        <f>VLOOKUP($C52,'2 - Basic Assessment (Opt 2)'!$B$5:$N$40,12,0)</f>
        <v>0</v>
      </c>
      <c r="K52" s="713"/>
      <c r="L52" s="363">
        <f>VLOOKUP(F52,Lists!$C$43:$D$82,2,0)+VLOOKUP(G52,Lists!$C$43:$D$82,2,0)+VLOOKUP(H52,Lists!$C$43:$D$82,2,0)</f>
        <v>0</v>
      </c>
      <c r="M52" s="363">
        <f t="shared" ref="M52:M67" si="2">IF((I52-L52)&lt;0,0,I52-L52)</f>
        <v>0</v>
      </c>
      <c r="N52" s="368" t="str">
        <f t="shared" ref="N52:N57" si="3">IF(D52="No answer given","No answer given",IF(D52&lt;&gt;"N/A",IF((I52-L52)&lt;=(J52/3),"Low",IF((I52-L52)&gt;(J52*2/3),"High","Medium")),"N/A"))</f>
        <v>No answer given</v>
      </c>
      <c r="O52" s="716"/>
      <c r="P52" s="67"/>
    </row>
    <row r="53" spans="1:16" ht="99.95" customHeight="1" x14ac:dyDescent="0.25">
      <c r="A53" s="723"/>
      <c r="B53" s="699"/>
      <c r="C53" s="365" t="str">
        <f>'2 - Basic Assessement Results'!C20</f>
        <v>Impact on carbon sinks (such as deforestation)</v>
      </c>
      <c r="D53" s="363" t="str">
        <f>VLOOKUP($C53,'2 - Basic Assessment (Opt 2)'!$B$5:$N$28,13,0)</f>
        <v>No answer given</v>
      </c>
      <c r="E53" s="363" t="s">
        <v>177</v>
      </c>
      <c r="F53" s="321"/>
      <c r="G53" s="321"/>
      <c r="H53" s="321"/>
      <c r="I53" s="367">
        <f>VLOOKUP($C53,'2 - Basic Assessment (Opt 2)'!$B$5:$N$40,10,0)</f>
        <v>0</v>
      </c>
      <c r="J53" s="367">
        <f>VLOOKUP($C53,'2 - Basic Assessment (Opt 2)'!$B$5:$N$40,12,0)</f>
        <v>0</v>
      </c>
      <c r="K53" s="715"/>
      <c r="L53" s="363">
        <f>VLOOKUP(F53,Lists!$C$43:$D$82,2,0)+VLOOKUP(G53,Lists!$C$43:$D$82,2,0)+VLOOKUP(H53,Lists!$C$43:$D$82,2,0)</f>
        <v>0</v>
      </c>
      <c r="M53" s="363">
        <f t="shared" si="2"/>
        <v>0</v>
      </c>
      <c r="N53" s="368" t="str">
        <f t="shared" si="3"/>
        <v>No answer given</v>
      </c>
      <c r="O53" s="717"/>
      <c r="P53" s="67"/>
    </row>
    <row r="54" spans="1:16" ht="102.75" customHeight="1" x14ac:dyDescent="0.25">
      <c r="A54" s="724" t="s">
        <v>268</v>
      </c>
      <c r="B54" s="698" t="str">
        <f>VLOOKUP(A54,'2 - Basic Assessment (Opt 2)'!$A$5:$O$28,15,0)</f>
        <v>No answer given</v>
      </c>
      <c r="C54" s="369" t="str">
        <f>'2 - Basic Assessement Results'!C21</f>
        <v>Loss of natural habitats causing loss of biodiversity (such as deforestation) from land-use change (LUC) and indirect land-use change (ILUC)</v>
      </c>
      <c r="D54" s="363" t="str">
        <f>VLOOKUP($C54,'2 - Basic Assessment (Opt 2)'!$B$5:$N$28,13,0)</f>
        <v>No answer given</v>
      </c>
      <c r="E54" s="363" t="s">
        <v>180</v>
      </c>
      <c r="F54" s="321"/>
      <c r="G54" s="321"/>
      <c r="H54" s="321"/>
      <c r="I54" s="367">
        <f>VLOOKUP($C54,'2 - Basic Assessment (Opt 2)'!$B$5:$N$40,10,0)</f>
        <v>0</v>
      </c>
      <c r="J54" s="367">
        <f>VLOOKUP($C54,'2 - Basic Assessment (Opt 2)'!$B$5:$N$40,12,0)</f>
        <v>0</v>
      </c>
      <c r="K54" s="714">
        <f>SUM(J54:J57)</f>
        <v>3</v>
      </c>
      <c r="L54" s="363">
        <f>VLOOKUP(F54,Lists!$C$43:$D$82,2,0)+VLOOKUP(G54,Lists!$C$43:$D$82,2,0)+VLOOKUP(H54,Lists!$C$43:$D$82,2,0)</f>
        <v>0</v>
      </c>
      <c r="M54" s="363">
        <f t="shared" si="2"/>
        <v>0</v>
      </c>
      <c r="N54" s="368" t="str">
        <f t="shared" si="3"/>
        <v>No answer given</v>
      </c>
      <c r="O54" s="702" t="str" cm="1">
        <f t="array" ref="O54">IF(COUNTIF(D54:D57,"No answer given")&gt;0,"No answer given",IF((D54="High")+ OR(N54="High",AND(L54&lt;&gt;0,F35=Lists!$G$13,(AND(ISNUMBER((SEARCH("FSC",F54:H54)))=FALSE))))=2,"High Risk",IF(SUM(M54:M57)&lt;=K54/3,"Low Risk",IF(SUM(M54:M57)&gt;K54*2/3,"High Risk","Medium Risk"))))</f>
        <v>No answer given</v>
      </c>
      <c r="P54" s="67"/>
    </row>
    <row r="55" spans="1:16" ht="93" customHeight="1" x14ac:dyDescent="0.25">
      <c r="A55" s="725"/>
      <c r="B55" s="713"/>
      <c r="C55" s="369" t="str">
        <f>'2 - Basic Assessement Results'!C22</f>
        <v>Loss of biodiversity due to increased use of chemicals (pesticides, herbicides, etc.)</v>
      </c>
      <c r="D55" s="363" t="str">
        <f>VLOOKUP($C55,'2 - Basic Assessment (Opt 2)'!$B$5:$N$28,13,0)</f>
        <v>No answer given</v>
      </c>
      <c r="E55" s="363" t="s">
        <v>183</v>
      </c>
      <c r="F55" s="321"/>
      <c r="G55" s="321"/>
      <c r="H55" s="321"/>
      <c r="I55" s="367">
        <f>VLOOKUP($C55,'2 - Basic Assessment (Opt 2)'!$B$5:$N$40,10,0)</f>
        <v>0</v>
      </c>
      <c r="J55" s="367">
        <f>VLOOKUP($C55,'2 - Basic Assessment (Opt 2)'!$B$5:$N$40,12,0)</f>
        <v>0</v>
      </c>
      <c r="K55" s="713"/>
      <c r="L55" s="363">
        <f>VLOOKUP(F55,Lists!$C$43:$D$82,2,0)+VLOOKUP(G55,Lists!$C$43:$D$82,2,0)+VLOOKUP(H55,Lists!$C$43:$D$82,2,0)</f>
        <v>0</v>
      </c>
      <c r="M55" s="363">
        <f t="shared" si="2"/>
        <v>0</v>
      </c>
      <c r="N55" s="368" t="str">
        <f t="shared" si="3"/>
        <v>No answer given</v>
      </c>
      <c r="O55" s="716"/>
      <c r="P55" s="67"/>
    </row>
    <row r="56" spans="1:16" ht="106.5" customHeight="1" x14ac:dyDescent="0.25">
      <c r="A56" s="725"/>
      <c r="B56" s="713"/>
      <c r="C56" s="369" t="str">
        <f>'2 - Basic Assessement Results'!C23</f>
        <v>Water consumption for biomass production</v>
      </c>
      <c r="D56" s="363" t="str">
        <f>VLOOKUP($C56,'2 - Basic Assessment (Opt 2)'!$B$5:$N$28,13,0)</f>
        <v>No answer given</v>
      </c>
      <c r="E56" s="363" t="s">
        <v>190</v>
      </c>
      <c r="F56" s="321"/>
      <c r="G56" s="321"/>
      <c r="H56" s="321"/>
      <c r="I56" s="367">
        <f>VLOOKUP($C56,'2 - Basic Assessment (Opt 2)'!$B$5:$N$40,10,0)</f>
        <v>0</v>
      </c>
      <c r="J56" s="367">
        <f>VLOOKUP($C56,'2 - Basic Assessment (Opt 2)'!$B$5:$N$40,12,0)</f>
        <v>0</v>
      </c>
      <c r="K56" s="713"/>
      <c r="L56" s="363">
        <f>VLOOKUP(F56,Lists!$C$43:$D$82,2,0)+VLOOKUP(G56,Lists!$C$43:$D$82,2,0)+VLOOKUP(H56,Lists!$C$43:$D$82,2,0)</f>
        <v>0</v>
      </c>
      <c r="M56" s="363">
        <f t="shared" si="2"/>
        <v>0</v>
      </c>
      <c r="N56" s="368" t="str">
        <f t="shared" si="3"/>
        <v>No answer given</v>
      </c>
      <c r="O56" s="716"/>
      <c r="P56" s="67"/>
    </row>
    <row r="57" spans="1:16" ht="88.5" customHeight="1" x14ac:dyDescent="0.25">
      <c r="A57" s="725"/>
      <c r="B57" s="699"/>
      <c r="C57" s="379" t="str">
        <f>'2 - Basic Assessement Results'!C24</f>
        <v>Water &amp; soil contamination</v>
      </c>
      <c r="D57" s="363" t="str">
        <f>VLOOKUP($C57,'2 - Basic Assessment (Opt 2)'!$B$5:$N$28,13,0)</f>
        <v>No answer given</v>
      </c>
      <c r="E57" s="363" t="s">
        <v>196</v>
      </c>
      <c r="F57" s="321"/>
      <c r="G57" s="321"/>
      <c r="H57" s="321"/>
      <c r="I57" s="367">
        <f>VLOOKUP($C57,'2 - Basic Assessment (Opt 2)'!$B$5:$N$40,10,0)</f>
        <v>0</v>
      </c>
      <c r="J57" s="367">
        <f>VLOOKUP($C57,'2 - Basic Assessment (Opt 2)'!$B$5:$N$40,12,0)</f>
        <v>3</v>
      </c>
      <c r="K57" s="715"/>
      <c r="L57" s="363">
        <f>VLOOKUP(F57,Lists!$C$43:$D$82,2,0)+VLOOKUP(G57,Lists!$C$43:$D$82,2,0)+VLOOKUP(H57,Lists!$C$43:$D$82,2,0)</f>
        <v>0</v>
      </c>
      <c r="M57" s="363">
        <f t="shared" si="2"/>
        <v>0</v>
      </c>
      <c r="N57" s="368" t="str">
        <f t="shared" si="3"/>
        <v>No answer given</v>
      </c>
      <c r="O57" s="717"/>
      <c r="P57" s="67"/>
    </row>
    <row r="58" spans="1:16" ht="138" customHeight="1" x14ac:dyDescent="0.25">
      <c r="A58" s="712" t="s">
        <v>256</v>
      </c>
      <c r="B58" s="698" t="str">
        <f>VLOOKUP(A58,'2 - Basic Assessment (Opt 2)'!$A$5:$O$28,15,0)</f>
        <v>No answer given</v>
      </c>
      <c r="C58" s="370" t="str">
        <f>'2 - Basic Assessement Results'!C25</f>
        <v>Open field burning of agricultural waste and wildfires</v>
      </c>
      <c r="D58" s="363" t="str">
        <f>VLOOKUP($C58,'2 - Basic Assessment (Opt 2)'!$B$5:$N$28,13,0)</f>
        <v>No answer given</v>
      </c>
      <c r="E58" s="363" t="s">
        <v>203</v>
      </c>
      <c r="F58" s="321"/>
      <c r="G58" s="321"/>
      <c r="H58" s="321"/>
      <c r="I58" s="367">
        <f>VLOOKUP($C58,'2 - Basic Assessment (Opt 2)'!$B$5:$N$40,10,0)</f>
        <v>0</v>
      </c>
      <c r="J58" s="367">
        <f>VLOOKUP($C58,'2 - Basic Assessment (Opt 2)'!$B$5:$N$40,12,0)</f>
        <v>0</v>
      </c>
      <c r="K58" s="714">
        <f>SUM(J58:J60)</f>
        <v>6</v>
      </c>
      <c r="L58" s="363">
        <f>VLOOKUP(F58,Lists!$C$43:$D$82,2,0)+VLOOKUP(G58,Lists!$C$43:$D$82,2,0)+VLOOKUP(H58,Lists!$C$43:$D$82,2,0)</f>
        <v>0</v>
      </c>
      <c r="M58" s="363">
        <f t="shared" si="2"/>
        <v>0</v>
      </c>
      <c r="N58" s="368" t="str">
        <f>IF(D58="No answer given","No answer given",IF(D58&lt;&gt;"N/A",IF((I58-L58)&lt;=(J58/3),"Low",IF((I58-L58)&gt;(J58*2/3),"High","Medium")),"N/A"))</f>
        <v>No answer given</v>
      </c>
      <c r="O58" s="702" t="str">
        <f>IF(D58="No answer given",D58,IF(SUM(M58:M60)&lt;=K58/3,"Low Risk",IF(SUM(M58:M60)&gt;K58*2/3,"High Risk","Medium Risk")))</f>
        <v>No answer given</v>
      </c>
      <c r="P58" s="67"/>
    </row>
    <row r="59" spans="1:16" ht="105.75" customHeight="1" x14ac:dyDescent="0.25">
      <c r="A59" s="712"/>
      <c r="B59" s="713"/>
      <c r="C59" s="379" t="str">
        <f>'2 - Basic Assessement Results'!C26</f>
        <v>Air contaminants emissions during production processes</v>
      </c>
      <c r="D59" s="363" t="str">
        <f>VLOOKUP($C59,'2 - Basic Assessment (Opt 2)'!$B$5:$N$28,13,0)</f>
        <v>No answer given</v>
      </c>
      <c r="E59" s="363" t="s">
        <v>205</v>
      </c>
      <c r="F59" s="321"/>
      <c r="G59" s="321"/>
      <c r="H59" s="321"/>
      <c r="I59" s="367">
        <f>VLOOKUP($C59,'2 - Basic Assessment (Opt 2)'!$B$5:$N$40,10,0)</f>
        <v>0</v>
      </c>
      <c r="J59" s="367">
        <f>VLOOKUP($C59,'2 - Basic Assessment (Opt 2)'!$B$5:$N$40,12,0)</f>
        <v>3</v>
      </c>
      <c r="K59" s="713"/>
      <c r="L59" s="363">
        <f>VLOOKUP(F59,Lists!$C$43:$D$82,2,0)+VLOOKUP(G59,Lists!$C$43:$D$82,2,0)+VLOOKUP(H59,Lists!$C$43:$D$82,2,0)</f>
        <v>0</v>
      </c>
      <c r="M59" s="363">
        <f t="shared" si="2"/>
        <v>0</v>
      </c>
      <c r="N59" s="368" t="str">
        <f t="shared" ref="N59:N66" si="4">IF(D59="No answer given","No answer given",IF(D59&lt;&gt;"N/A",IF((I59-L59)&lt;=(J59/3),"Low",IF((I59-L59)&gt;(J59*2/3),"High","Medium")),"N/A"))</f>
        <v>No answer given</v>
      </c>
      <c r="O59" s="716"/>
      <c r="P59" s="67"/>
    </row>
    <row r="60" spans="1:16" ht="108.6" customHeight="1" x14ac:dyDescent="0.25">
      <c r="A60" s="712"/>
      <c r="B60" s="699"/>
      <c r="C60" s="379" t="str">
        <f>'2 - Basic Assessement Results'!C27</f>
        <v>Air contaminants emissions from biomass combustion</v>
      </c>
      <c r="D60" s="363" t="str">
        <f>VLOOKUP($C60,'2 - Basic Assessment (Opt 2)'!$B$5:$N$28,13,0)</f>
        <v>No answer given</v>
      </c>
      <c r="E60" s="363" t="s">
        <v>208</v>
      </c>
      <c r="F60" s="321"/>
      <c r="G60" s="321"/>
      <c r="H60" s="321"/>
      <c r="I60" s="367">
        <f>VLOOKUP($C60,'2 - Basic Assessment (Opt 2)'!$B$5:$N$40,10,0)</f>
        <v>0</v>
      </c>
      <c r="J60" s="367">
        <f>VLOOKUP($C60,'2 - Basic Assessment (Opt 2)'!$B$5:$N$40,12,0)</f>
        <v>3</v>
      </c>
      <c r="K60" s="715"/>
      <c r="L60" s="363">
        <f>VLOOKUP(F60,Lists!$C$43:$D$82,2,0)+VLOOKUP(G60,Lists!$C$43:$D$82,2,0)+VLOOKUP(H60,Lists!$C$43:$D$82,2,0)</f>
        <v>0</v>
      </c>
      <c r="M60" s="363">
        <f t="shared" si="2"/>
        <v>0</v>
      </c>
      <c r="N60" s="368" t="str">
        <f t="shared" si="4"/>
        <v>No answer given</v>
      </c>
      <c r="O60" s="717"/>
      <c r="P60" s="67"/>
    </row>
    <row r="61" spans="1:16" ht="114" customHeight="1" x14ac:dyDescent="0.25">
      <c r="A61" s="718" t="s">
        <v>60</v>
      </c>
      <c r="B61" s="698" t="str">
        <f>VLOOKUP(A61,'2 - Basic Assessment (Opt 2)'!$A$5:$O$28,15,0)</f>
        <v>No answer given</v>
      </c>
      <c r="C61" s="371" t="str">
        <f>'2 - Basic Assessement Results'!C28</f>
        <v>Land rights</v>
      </c>
      <c r="D61" s="363" t="str">
        <f>VLOOKUP($C61,'2 - Basic Assessment (Opt 2)'!$B$5:$N$28,13,0)</f>
        <v>No answer given</v>
      </c>
      <c r="E61" s="363" t="s">
        <v>211</v>
      </c>
      <c r="F61" s="321"/>
      <c r="G61" s="321"/>
      <c r="H61" s="321"/>
      <c r="I61" s="367">
        <f>VLOOKUP($C61,'2 - Basic Assessment (Opt 2)'!$B$5:$N$40,10,0)</f>
        <v>0</v>
      </c>
      <c r="J61" s="367">
        <f>VLOOKUP($C61,'2 - Basic Assessment (Opt 2)'!$B$5:$N$40,12,0)</f>
        <v>0</v>
      </c>
      <c r="K61" s="700">
        <f>SUM(J61:J65)</f>
        <v>0</v>
      </c>
      <c r="L61" s="363">
        <f>VLOOKUP(F61,Lists!$C$43:$D$82,2,0)+VLOOKUP(G61,Lists!$C$43:$D$82,2,0)+VLOOKUP(H61,Lists!$C$43:$D$82,2,0)</f>
        <v>0</v>
      </c>
      <c r="M61" s="363">
        <f t="shared" si="2"/>
        <v>0</v>
      </c>
      <c r="N61" s="368" t="str">
        <f t="shared" si="4"/>
        <v>No answer given</v>
      </c>
      <c r="O61" s="702" t="str">
        <f>IF(COUNTIF(D61:D65,"No answer given")&gt;0,"No answer given",IF(AND(D65="High",M65="High"),"High Risk",IF(SUM(M61:M65)&lt;=K61/3,"Low Risk",IF(SUM(M61:M65)&gt;K61*2/3,"High Risk","Medium Risk"))))</f>
        <v>No answer given</v>
      </c>
      <c r="P61" s="67"/>
    </row>
    <row r="62" spans="1:16" ht="111.75" customHeight="1" x14ac:dyDescent="0.25">
      <c r="A62" s="719"/>
      <c r="B62" s="713"/>
      <c r="C62" s="371" t="str">
        <f>'2 - Basic Assessement Results'!C29</f>
        <v>Community health and safety</v>
      </c>
      <c r="D62" s="363" t="str">
        <f>VLOOKUP($C62,'2 - Basic Assessment (Opt 2)'!$B$5:$N$28,13,0)</f>
        <v>No answer given</v>
      </c>
      <c r="E62" s="363" t="s">
        <v>214</v>
      </c>
      <c r="F62" s="321"/>
      <c r="G62" s="321"/>
      <c r="H62" s="321"/>
      <c r="I62" s="367">
        <f>VLOOKUP($C62,'2 - Basic Assessment (Opt 2)'!$B$5:$N$40,10,0)</f>
        <v>0</v>
      </c>
      <c r="J62" s="367">
        <f>VLOOKUP($C62,'2 - Basic Assessment (Opt 2)'!$B$5:$N$40,12,0)</f>
        <v>0</v>
      </c>
      <c r="K62" s="700"/>
      <c r="L62" s="363">
        <f>VLOOKUP(F62,Lists!$C$43:$D$82,2,0)+VLOOKUP(G62,Lists!$C$43:$D$82,2,0)+VLOOKUP(H62,Lists!$C$43:$D$82,2,0)</f>
        <v>0</v>
      </c>
      <c r="M62" s="317">
        <f>IF(AVERAGE(M57:M60)-L62&lt;0,0,AVERAGE(M57:M60)-L62)</f>
        <v>0</v>
      </c>
      <c r="N62" s="319" t="str">
        <f>IF(D62="No answer given","No answer given",IF(D62&lt;&gt;"N/A",IF(M62&lt;=(J62/3),"Low",IF(M62&gt;(J62*2/3),"High","Medium")),"N/A"))</f>
        <v>No answer given</v>
      </c>
      <c r="O62" s="716"/>
      <c r="P62" s="67"/>
    </row>
    <row r="63" spans="1:16" ht="112.5" customHeight="1" x14ac:dyDescent="0.25">
      <c r="A63" s="719"/>
      <c r="B63" s="713"/>
      <c r="C63" s="371" t="str">
        <f>'2 - Basic Assessement Results'!C30</f>
        <v>Decent remuneration and compensation for workers</v>
      </c>
      <c r="D63" s="361" t="str">
        <f>VLOOKUP($C63,'2 - Basic Assessment (Opt 2)'!$B$5:$N$28,13,0)</f>
        <v>No answer given</v>
      </c>
      <c r="E63" s="363" t="s">
        <v>215</v>
      </c>
      <c r="F63" s="321"/>
      <c r="G63" s="321"/>
      <c r="H63" s="321"/>
      <c r="I63" s="367">
        <f>VLOOKUP($C63,'2 - Basic Assessment (Opt 2)'!$B$5:$N$40,10,0)</f>
        <v>0</v>
      </c>
      <c r="J63" s="367">
        <f>VLOOKUP($C63,'2 - Basic Assessment (Opt 2)'!$B$5:$N$40,12,0)</f>
        <v>0</v>
      </c>
      <c r="K63" s="700"/>
      <c r="L63" s="363">
        <f>VLOOKUP(F63,Lists!$C$43:$D$82,2,0)+VLOOKUP(G63,Lists!$C$43:$D$82,2,0)+VLOOKUP(H63,Lists!$C$43:$D$82,2,0)</f>
        <v>0</v>
      </c>
      <c r="M63" s="363">
        <f>IF((I63-L63)&lt;0,0,I63-L63)</f>
        <v>0</v>
      </c>
      <c r="N63" s="368" t="str">
        <f t="shared" si="4"/>
        <v>No answer given</v>
      </c>
      <c r="O63" s="716"/>
      <c r="P63" s="67"/>
    </row>
    <row r="64" spans="1:16" ht="104.25" customHeight="1" x14ac:dyDescent="0.25">
      <c r="A64" s="719"/>
      <c r="B64" s="713"/>
      <c r="C64" s="379" t="str">
        <f>'2 - Basic Assessement Results'!C31</f>
        <v>Occupational health and safety</v>
      </c>
      <c r="D64" s="361" t="str">
        <f>VLOOKUP($C64,'2 - Basic Assessment (Opt 2)'!$B$5:$N$28,13,0)</f>
        <v>No answer given</v>
      </c>
      <c r="E64" s="363" t="s">
        <v>217</v>
      </c>
      <c r="F64" s="321"/>
      <c r="G64" s="321"/>
      <c r="H64" s="321"/>
      <c r="I64" s="367">
        <f>VLOOKUP($C64,'2 - Basic Assessment (Opt 2)'!$B$5:$N$40,10,0)</f>
        <v>0</v>
      </c>
      <c r="J64" s="367">
        <f>VLOOKUP($C64,'2 - Basic Assessment (Opt 2)'!$B$5:$N$40,12,0)</f>
        <v>0</v>
      </c>
      <c r="K64" s="700"/>
      <c r="L64" s="363">
        <f>VLOOKUP(F64,Lists!$C$43:$D$82,2,0)+VLOOKUP(G64,Lists!$C$43:$D$82,2,0)+VLOOKUP(H64,Lists!$C$43:$D$82,2,0)</f>
        <v>0</v>
      </c>
      <c r="M64" s="317">
        <f>IF((MAX(M60,M59,M57)-L64)&lt;0,0,MAX(M60,M59,M57)-L64)</f>
        <v>0</v>
      </c>
      <c r="N64" s="368" t="str">
        <f t="shared" si="4"/>
        <v>No answer given</v>
      </c>
      <c r="O64" s="716"/>
      <c r="P64" s="67"/>
    </row>
    <row r="65" spans="1:16" ht="147.75" customHeight="1" x14ac:dyDescent="0.25">
      <c r="A65" s="720"/>
      <c r="B65" s="699"/>
      <c r="C65" s="371" t="str">
        <f>'2 - Basic Assessement Results'!C32</f>
        <v xml:space="preserve">Human rights, child labor and slavery </v>
      </c>
      <c r="D65" s="361" t="str">
        <f>VLOOKUP($C65,'2 - Basic Assessment (Opt 2)'!$B$5:$N$28,13,0)</f>
        <v>No answer given</v>
      </c>
      <c r="E65" s="363" t="s">
        <v>218</v>
      </c>
      <c r="F65" s="321"/>
      <c r="G65" s="321"/>
      <c r="H65" s="321"/>
      <c r="I65" s="367">
        <f>VLOOKUP($C65,'2 - Basic Assessment (Opt 2)'!$B$5:$N$40,10,0)</f>
        <v>0</v>
      </c>
      <c r="J65" s="367">
        <f>VLOOKUP($C65,'2 - Basic Assessment (Opt 2)'!$B$5:$N$40,12,0)</f>
        <v>0</v>
      </c>
      <c r="K65" s="700"/>
      <c r="L65" s="363">
        <f>VLOOKUP(F65,Lists!$C$43:$D$82,2,0)+VLOOKUP(G65,Lists!$C$43:$D$82,2,0)+VLOOKUP(H65,Lists!$C$43:$D$82,2,0)</f>
        <v>0</v>
      </c>
      <c r="M65" s="363">
        <f t="shared" si="2"/>
        <v>0</v>
      </c>
      <c r="N65" s="368" t="str">
        <f t="shared" si="4"/>
        <v>No answer given</v>
      </c>
      <c r="O65" s="717"/>
      <c r="P65" s="67"/>
    </row>
    <row r="66" spans="1:16" ht="54" customHeight="1" x14ac:dyDescent="0.25">
      <c r="A66" s="697" t="s">
        <v>275</v>
      </c>
      <c r="B66" s="698" t="str">
        <f>VLOOKUP(A66,'2 - Basic Assessment (Opt 2)'!$A$5:$O$28,15,0)</f>
        <v>No answer given</v>
      </c>
      <c r="C66" s="373" t="str">
        <f>'2 - Basic Assessement Results'!C33</f>
        <v>Impact on food availability and price</v>
      </c>
      <c r="D66" s="361" t="str">
        <f>VLOOKUP($C66,'2 - Basic Assessment (Opt 2)'!$B$5:$N$28,13,0)</f>
        <v>No answer given</v>
      </c>
      <c r="E66" s="363" t="s">
        <v>219</v>
      </c>
      <c r="F66" s="321"/>
      <c r="G66" s="321"/>
      <c r="H66" s="321"/>
      <c r="I66" s="367">
        <f>VLOOKUP($C66,'2 - Basic Assessment (Opt 2)'!$B$5:$N$40,10,0)</f>
        <v>0</v>
      </c>
      <c r="J66" s="367">
        <f>VLOOKUP($C66,'2 - Basic Assessment (Opt 2)'!$B$5:$N$40,12,0)</f>
        <v>0</v>
      </c>
      <c r="K66" s="700">
        <f>SUM(J66:J67)</f>
        <v>0</v>
      </c>
      <c r="L66" s="363">
        <f>VLOOKUP(F66,Lists!$C$43:$D$82,2,0)+VLOOKUP(G66,Lists!$C$43:$D$82,2,0)+VLOOKUP(H66,Lists!$C$43:$D$82,2,0)</f>
        <v>0</v>
      </c>
      <c r="M66" s="363">
        <f t="shared" si="2"/>
        <v>0</v>
      </c>
      <c r="N66" s="368" t="str">
        <f t="shared" si="4"/>
        <v>No answer given</v>
      </c>
      <c r="O66" s="702" t="str">
        <f>IF(COUNTIF(D66:D67,"No answer given")&gt;0,"No answer given",IF(AND(D66="High",N66="High"),"High Risk",IF(SUM(M66:M67)&lt;=K66/3,"Low Risk",IF(SUM(M66:M67)&gt;K66*2/3,"High Risk","Medium Risk"))))</f>
        <v>No answer given</v>
      </c>
    </row>
    <row r="67" spans="1:16" ht="108" customHeight="1" x14ac:dyDescent="0.25">
      <c r="A67" s="697"/>
      <c r="B67" s="699"/>
      <c r="C67" s="373" t="str">
        <f>'2 - Basic Assessement Results'!C34</f>
        <v>Increased and equitable share of revenues &amp; employment opportunities for local communities development</v>
      </c>
      <c r="D67" s="361" t="str">
        <f>VLOOKUP($C67,'2 - Basic Assessment (Opt 2)'!$B$5:$N$28,13,0)</f>
        <v>No answer given</v>
      </c>
      <c r="E67" s="363" t="s">
        <v>223</v>
      </c>
      <c r="F67" s="325"/>
      <c r="G67" s="325"/>
      <c r="H67" s="325"/>
      <c r="I67" s="367">
        <f>VLOOKUP($C67,'2 - Basic Assessment (Opt 2)'!$B$5:$N$40,10,0)</f>
        <v>0</v>
      </c>
      <c r="J67" s="367">
        <f>VLOOKUP($C67,'2 - Basic Assessment (Opt 2)'!$B$5:$N$40,12,0)</f>
        <v>0</v>
      </c>
      <c r="K67" s="701"/>
      <c r="L67" s="363">
        <f>VLOOKUP(F67,Lists!$C$43:$D$82,2,0)+VLOOKUP(G67,Lists!$C$43:$D$82,2,0)+VLOOKUP(H67,Lists!$C$43:$D$82,2,0)</f>
        <v>0</v>
      </c>
      <c r="M67" s="363">
        <f t="shared" si="2"/>
        <v>0</v>
      </c>
      <c r="N67" s="368" t="str">
        <f>IF(D67="No answer given","No answer given",IF(D67&lt;&gt;"N/A",IF((I67-L67)&lt;=(J67/3),"Low",IF((I67-L67)&gt;(J67*2/3),"High","Medium")),"N/A"))</f>
        <v>No answer given</v>
      </c>
      <c r="O67" s="703"/>
    </row>
    <row r="68" spans="1:16" ht="107.25" customHeight="1" x14ac:dyDescent="0.25">
      <c r="A68" s="176" t="s">
        <v>426</v>
      </c>
      <c r="B68" s="704" t="str">
        <f>IF(COUNTIF(B51:B67,"No answer given")&gt;0,"No answer given",IF(COUNTIF(B51:B67,"High Risk")&gt;0,"Unacceptable without mitigation measures",IF(COUNTIF(D51:D67,"High")&gt;0,"May be acceptable but should implement Mitigation measures",IF(COUNTIF(D51:D67,"Medium")= 0,"Acceptable","Acceptable with mitigation measures"))))</f>
        <v>No answer given</v>
      </c>
      <c r="C68" s="705"/>
      <c r="D68" s="706"/>
      <c r="E68" s="175"/>
      <c r="F68" s="709"/>
      <c r="G68" s="710"/>
      <c r="H68" s="711"/>
      <c r="I68" s="196"/>
      <c r="J68" s="196"/>
      <c r="K68" s="196"/>
      <c r="L68" s="196"/>
      <c r="M68" s="196"/>
      <c r="N68" s="707" t="str">
        <f>IF(F38=Lists!$C$16,"Unacceptable as per criteria set by the Sustainable Biomass Guidelines",IF(COUNTIF(O51:O67,"No answer given")&gt;0,"No answer given", IF(B68="Acceptable","Acceptable",IF(OR(COUNTIF(O51:O67,"High Risk")&gt;0,AND(F35=Lists!$D$13,N66="Medium")),"Unacceptable",IF((COUNTIF(N51:N67,"Medium")+COUNTIF(N51:N67,"High"))&gt;0,"May be acceptable upon implementation of the selected mitigation measures and further ones to cover High/Medium Risk indicators","Acceptable upon implementation of the selected mitigation measures")))))</f>
        <v>No answer given</v>
      </c>
      <c r="O68" s="708"/>
    </row>
  </sheetData>
  <sheetProtection algorithmName="SHA-512" hashValue="PbaAShG/AATLet5CT37JscCK3A9oHT4KTEWe4AxpFUqvRv+7+jqloUyjRYYeb3kufAl6zsFIjW1YrNVeUzVUdQ==" saltValue="tJEyK99p0TyAVheW/jq6rA==" spinCount="100000" sheet="1" objects="1" scenarios="1"/>
  <protectedRanges>
    <protectedRange sqref="F18:H34 F51:H67" name="Range1"/>
  </protectedRanges>
  <mergeCells count="66">
    <mergeCell ref="A1:P1"/>
    <mergeCell ref="B35:D35"/>
    <mergeCell ref="D2:D5"/>
    <mergeCell ref="F2:F5"/>
    <mergeCell ref="G2:G5"/>
    <mergeCell ref="F16:H16"/>
    <mergeCell ref="A28:A32"/>
    <mergeCell ref="K28:K32"/>
    <mergeCell ref="A33:A34"/>
    <mergeCell ref="K33:K34"/>
    <mergeCell ref="B28:B32"/>
    <mergeCell ref="B33:B34"/>
    <mergeCell ref="N35:O35"/>
    <mergeCell ref="O28:O32"/>
    <mergeCell ref="O33:O34"/>
    <mergeCell ref="K18:K20"/>
    <mergeCell ref="K21:K24"/>
    <mergeCell ref="K25:K27"/>
    <mergeCell ref="O18:O20"/>
    <mergeCell ref="O21:O24"/>
    <mergeCell ref="O25:O27"/>
    <mergeCell ref="F49:H49"/>
    <mergeCell ref="F7:G7"/>
    <mergeCell ref="F39:G39"/>
    <mergeCell ref="F9:G9"/>
    <mergeCell ref="F10:G10"/>
    <mergeCell ref="F11:G11"/>
    <mergeCell ref="F12:G12"/>
    <mergeCell ref="F13:G13"/>
    <mergeCell ref="F14:G14"/>
    <mergeCell ref="F41:G41"/>
    <mergeCell ref="F42:G42"/>
    <mergeCell ref="F43:G43"/>
    <mergeCell ref="F44:G44"/>
    <mergeCell ref="F45:G45"/>
    <mergeCell ref="F46:G46"/>
    <mergeCell ref="F35:H35"/>
    <mergeCell ref="A18:A20"/>
    <mergeCell ref="B18:B20"/>
    <mergeCell ref="A25:A27"/>
    <mergeCell ref="A21:A24"/>
    <mergeCell ref="B21:B24"/>
    <mergeCell ref="B25:B27"/>
    <mergeCell ref="A51:A53"/>
    <mergeCell ref="B51:B53"/>
    <mergeCell ref="K51:K53"/>
    <mergeCell ref="O51:O53"/>
    <mergeCell ref="A54:A57"/>
    <mergeCell ref="B54:B57"/>
    <mergeCell ref="K54:K57"/>
    <mergeCell ref="O54:O57"/>
    <mergeCell ref="A58:A60"/>
    <mergeCell ref="B58:B60"/>
    <mergeCell ref="K58:K60"/>
    <mergeCell ref="O58:O60"/>
    <mergeCell ref="A61:A65"/>
    <mergeCell ref="B61:B65"/>
    <mergeCell ref="K61:K65"/>
    <mergeCell ref="O61:O65"/>
    <mergeCell ref="A66:A67"/>
    <mergeCell ref="B66:B67"/>
    <mergeCell ref="K66:K67"/>
    <mergeCell ref="O66:O67"/>
    <mergeCell ref="B68:D68"/>
    <mergeCell ref="N68:O68"/>
    <mergeCell ref="F68:H68"/>
  </mergeCells>
  <conditionalFormatting sqref="B18 B21 B25 B28:B34">
    <cfRule type="expression" dxfId="61" priority="40">
      <formula>B18="High Risk"</formula>
    </cfRule>
    <cfRule type="expression" dxfId="60" priority="41">
      <formula>B18="Low Risk"</formula>
    </cfRule>
    <cfRule type="expression" dxfId="59" priority="42">
      <formula>B18="Medium Risk"</formula>
    </cfRule>
  </conditionalFormatting>
  <conditionalFormatting sqref="B51 B54 B58 B61:B67">
    <cfRule type="expression" dxfId="58" priority="14">
      <formula>B51="High Risk"</formula>
    </cfRule>
    <cfRule type="expression" dxfId="57" priority="15">
      <formula>B51="Low Risk"</formula>
    </cfRule>
    <cfRule type="expression" dxfId="56" priority="16">
      <formula>B51="Medium Risk"</formula>
    </cfRule>
  </conditionalFormatting>
  <conditionalFormatting sqref="D18:D34">
    <cfRule type="containsText" dxfId="55" priority="103" operator="containsText" text="Low">
      <formula>NOT(ISERROR(SEARCH("Low",D18)))</formula>
    </cfRule>
    <cfRule type="containsText" dxfId="54" priority="104" operator="containsText" text="Medium">
      <formula>NOT(ISERROR(SEARCH("Medium",D18)))</formula>
    </cfRule>
    <cfRule type="containsText" dxfId="53" priority="105" operator="containsText" text="High">
      <formula>NOT(ISERROR(SEARCH("High",D18)))</formula>
    </cfRule>
  </conditionalFormatting>
  <conditionalFormatting sqref="D51:D67">
    <cfRule type="containsText" dxfId="52" priority="20" operator="containsText" text="Low">
      <formula>NOT(ISERROR(SEARCH("Low",D51)))</formula>
    </cfRule>
    <cfRule type="containsText" dxfId="51" priority="21" operator="containsText" text="Medium">
      <formula>NOT(ISERROR(SEARCH("Medium",D51)))</formula>
    </cfRule>
    <cfRule type="containsText" dxfId="50" priority="22" operator="containsText" text="High">
      <formula>NOT(ISERROR(SEARCH("High",D51)))</formula>
    </cfRule>
  </conditionalFormatting>
  <conditionalFormatting sqref="F18:H34">
    <cfRule type="duplicateValues" dxfId="49" priority="173"/>
  </conditionalFormatting>
  <conditionalFormatting sqref="F51:H67">
    <cfRule type="duplicateValues" dxfId="48" priority="10"/>
  </conditionalFormatting>
  <conditionalFormatting sqref="N18:N34">
    <cfRule type="containsText" dxfId="47" priority="55" operator="containsText" text="Low">
      <formula>NOT(ISERROR(SEARCH("Low",N18)))</formula>
    </cfRule>
    <cfRule type="containsText" dxfId="46" priority="56" operator="containsText" text="High">
      <formula>NOT(ISERROR(SEARCH("High",N18)))</formula>
    </cfRule>
    <cfRule type="containsText" dxfId="45" priority="57" operator="containsText" text="Medium">
      <formula>NOT(ISERROR(SEARCH("Medium",N18)))</formula>
    </cfRule>
  </conditionalFormatting>
  <conditionalFormatting sqref="N51:N67">
    <cfRule type="containsText" dxfId="44" priority="1" operator="containsText" text="Low">
      <formula>NOT(ISERROR(SEARCH("Low",N51)))</formula>
    </cfRule>
    <cfRule type="containsText" dxfId="43" priority="2" operator="containsText" text="High">
      <formula>NOT(ISERROR(SEARCH("High",N51)))</formula>
    </cfRule>
    <cfRule type="containsText" dxfId="42" priority="3" operator="containsText" text="Medium">
      <formula>NOT(ISERROR(SEARCH("Medium",N51)))</formula>
    </cfRule>
  </conditionalFormatting>
  <conditionalFormatting sqref="O18 O21 O25 O28:O34">
    <cfRule type="expression" dxfId="41" priority="37">
      <formula>O18="Low Risk"</formula>
    </cfRule>
    <cfRule type="expression" dxfId="40" priority="38">
      <formula>O18="Medium Risk"</formula>
    </cfRule>
    <cfRule type="expression" dxfId="39" priority="39">
      <formula>O18="High Risk"</formula>
    </cfRule>
  </conditionalFormatting>
  <conditionalFormatting sqref="O51 O54 O58 O61:O67">
    <cfRule type="expression" dxfId="38" priority="11">
      <formula>O51="Low Risk"</formula>
    </cfRule>
    <cfRule type="expression" dxfId="37" priority="12">
      <formula>O51="Medium Risk"</formula>
    </cfRule>
    <cfRule type="expression" dxfId="36" priority="13">
      <formula>O51="High Risk"</formula>
    </cfRule>
  </conditionalFormatting>
  <dataValidations count="5">
    <dataValidation type="list" allowBlank="1" showInputMessage="1" showErrorMessage="1" sqref="H20:H34 H53:H67" xr:uid="{F8B820F5-70C2-4F67-A33D-602673D424E9}">
      <formula1>INDIRECT(E20)</formula1>
    </dataValidation>
    <dataValidation type="list" allowBlank="1" showInputMessage="1" showErrorMessage="1" sqref="G20:G34 G53:G67" xr:uid="{A1120BFE-11B5-4519-BFD3-67DF3724B74C}">
      <formula1>INDIRECT(E20)</formula1>
    </dataValidation>
    <dataValidation type="list" allowBlank="1" showInputMessage="1" showErrorMessage="1" sqref="F20:F34 F53:F67" xr:uid="{E77EA547-B824-4EBD-8C75-D12A47AECFD4}">
      <formula1>INDIRECT(E20)</formula1>
    </dataValidation>
    <dataValidation type="list" allowBlank="1" showInputMessage="1" showErrorMessage="1" sqref="F19:H19 F52:H52" xr:uid="{B0A3A00F-B66C-46B9-A12D-B347DA615798}">
      <formula1>INDIRECT($E19)</formula1>
    </dataValidation>
    <dataValidation type="list" allowBlank="1" showInputMessage="1" showErrorMessage="1" sqref="F18:H18 F51:H51" xr:uid="{DBF52433-6F53-49C8-BCD9-22ABCB5439D0}">
      <formula1>GHG_1</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98C0E-FCEB-421E-A7E0-E4C1D5BA74E8}">
  <sheetPr codeName="Sheet7">
    <tabColor theme="9" tint="-0.249977111117893"/>
  </sheetPr>
  <dimension ref="A1:W48"/>
  <sheetViews>
    <sheetView showGridLines="0" zoomScale="40" zoomScaleNormal="40" workbookViewId="0">
      <pane xSplit="4" ySplit="2" topLeftCell="E27" activePane="bottomRight" state="frozen"/>
      <selection pane="topRight" activeCell="D1" sqref="D1"/>
      <selection pane="bottomLeft" activeCell="A3" sqref="A3"/>
      <selection pane="bottomRight" activeCell="H35" sqref="H35:H36"/>
    </sheetView>
  </sheetViews>
  <sheetFormatPr defaultColWidth="8.7109375" defaultRowHeight="12.75" x14ac:dyDescent="0.2"/>
  <cols>
    <col min="1" max="1" width="21.85546875" style="2" customWidth="1"/>
    <col min="2" max="2" width="29.42578125" style="2" customWidth="1"/>
    <col min="3" max="3" width="24.28515625" style="2" customWidth="1"/>
    <col min="4" max="4" width="9.85546875" style="26" customWidth="1"/>
    <col min="5" max="5" width="49.28515625" style="2" customWidth="1"/>
    <col min="6" max="6" width="70.5703125" style="2" customWidth="1"/>
    <col min="7" max="7" width="11.42578125" style="2" hidden="1" customWidth="1"/>
    <col min="8" max="8" width="16.28515625" style="2" customWidth="1"/>
    <col min="9" max="9" width="12.28515625" style="2" hidden="1" customWidth="1"/>
    <col min="10" max="10" width="14.140625" style="2" hidden="1" customWidth="1"/>
    <col min="11" max="11" width="11.42578125" style="2" hidden="1" customWidth="1"/>
    <col min="12" max="12" width="12.42578125" style="2" hidden="1" customWidth="1"/>
    <col min="13" max="13" width="0.7109375" style="2" hidden="1" customWidth="1"/>
    <col min="14" max="14" width="17.140625" style="2" customWidth="1"/>
    <col min="15" max="15" width="14.140625" style="27" customWidth="1"/>
    <col min="16" max="16" width="18.42578125" style="27" hidden="1" customWidth="1"/>
    <col min="17" max="17" width="53.42578125" style="27" customWidth="1"/>
    <col min="18" max="18" width="90.7109375" style="2" customWidth="1"/>
    <col min="19" max="19" width="36.28515625" style="2" customWidth="1"/>
    <col min="20" max="20" width="68.140625" style="2" customWidth="1"/>
    <col min="21" max="22" width="6.85546875" style="2" hidden="1" customWidth="1"/>
    <col min="23" max="16384" width="8.7109375" style="2"/>
  </cols>
  <sheetData>
    <row r="1" spans="1:23" ht="30.95" customHeight="1" x14ac:dyDescent="0.2">
      <c r="A1" s="540" t="s">
        <v>434</v>
      </c>
      <c r="B1" s="540"/>
      <c r="C1" s="540"/>
      <c r="D1" s="540"/>
      <c r="E1" s="540"/>
      <c r="F1" s="540"/>
      <c r="G1" s="540"/>
      <c r="H1" s="540"/>
      <c r="I1" s="540"/>
      <c r="J1" s="540"/>
      <c r="K1" s="540"/>
      <c r="L1" s="540"/>
      <c r="M1" s="540"/>
      <c r="N1" s="540"/>
      <c r="O1" s="540"/>
      <c r="P1" s="540"/>
      <c r="Q1" s="540"/>
      <c r="R1" s="540"/>
      <c r="S1" s="540"/>
      <c r="T1" s="540"/>
      <c r="U1" s="1"/>
      <c r="V1" s="1"/>
      <c r="W1" s="1"/>
    </row>
    <row r="2" spans="1:23" ht="45.6" customHeight="1" x14ac:dyDescent="0.2">
      <c r="A2" s="540"/>
      <c r="B2" s="540"/>
      <c r="C2" s="540"/>
      <c r="D2" s="540"/>
      <c r="E2" s="540"/>
      <c r="F2" s="540"/>
      <c r="G2" s="540"/>
      <c r="H2" s="540"/>
      <c r="I2" s="540"/>
      <c r="J2" s="540"/>
      <c r="K2" s="540"/>
      <c r="L2" s="540"/>
      <c r="M2" s="540"/>
      <c r="N2" s="540"/>
      <c r="O2" s="540"/>
      <c r="P2" s="540"/>
      <c r="Q2" s="540"/>
      <c r="R2" s="540"/>
      <c r="S2" s="540"/>
      <c r="T2" s="540"/>
      <c r="U2" s="1"/>
      <c r="V2" s="1"/>
      <c r="W2" s="1"/>
    </row>
    <row r="3" spans="1:23" ht="63" customHeight="1" x14ac:dyDescent="0.3">
      <c r="A3" s="1"/>
      <c r="B3" s="667" t="s">
        <v>244</v>
      </c>
      <c r="C3" s="667"/>
      <c r="D3" s="667"/>
      <c r="E3" s="194">
        <f>Overview!D16</f>
        <v>0</v>
      </c>
      <c r="F3" s="194">
        <f>Overview!D17</f>
        <v>0</v>
      </c>
      <c r="G3" s="1"/>
      <c r="H3" s="193" t="s">
        <v>388</v>
      </c>
      <c r="I3" s="1"/>
      <c r="J3" s="1"/>
      <c r="K3" s="1"/>
      <c r="L3" s="1"/>
      <c r="M3" s="1"/>
      <c r="N3" s="694" t="s">
        <v>389</v>
      </c>
      <c r="O3" s="695"/>
      <c r="P3" s="695"/>
      <c r="Q3" s="695"/>
      <c r="R3" s="696"/>
      <c r="S3" s="1"/>
      <c r="T3" s="1"/>
      <c r="U3" s="1"/>
      <c r="V3" s="1"/>
      <c r="W3" s="1"/>
    </row>
    <row r="4" spans="1:23" ht="65.45" customHeight="1" x14ac:dyDescent="0.2">
      <c r="A4" s="91" t="s">
        <v>277</v>
      </c>
      <c r="B4" s="91" t="s">
        <v>278</v>
      </c>
      <c r="C4" s="97" t="s">
        <v>390</v>
      </c>
      <c r="D4" s="91" t="s">
        <v>13</v>
      </c>
      <c r="E4" s="542" t="s">
        <v>14</v>
      </c>
      <c r="F4" s="543"/>
      <c r="G4" s="91" t="s">
        <v>279</v>
      </c>
      <c r="H4" s="91" t="s">
        <v>15</v>
      </c>
      <c r="I4" s="91" t="s">
        <v>280</v>
      </c>
      <c r="J4" s="91" t="s">
        <v>281</v>
      </c>
      <c r="K4" s="91" t="s">
        <v>392</v>
      </c>
      <c r="L4" s="91" t="s">
        <v>412</v>
      </c>
      <c r="M4" s="91" t="s">
        <v>394</v>
      </c>
      <c r="N4" s="188" t="s">
        <v>395</v>
      </c>
      <c r="O4" s="188" t="s">
        <v>396</v>
      </c>
      <c r="P4" s="188" t="s">
        <v>397</v>
      </c>
      <c r="Q4" s="189" t="s">
        <v>284</v>
      </c>
      <c r="R4" s="188" t="s">
        <v>54</v>
      </c>
      <c r="S4" s="188" t="s">
        <v>537</v>
      </c>
      <c r="T4" s="91" t="s">
        <v>285</v>
      </c>
      <c r="U4" s="1"/>
      <c r="V4" s="1"/>
      <c r="W4" s="1"/>
    </row>
    <row r="5" spans="1:23" ht="108" customHeight="1" x14ac:dyDescent="0.2">
      <c r="A5" s="794" t="s">
        <v>286</v>
      </c>
      <c r="B5" s="797" t="str">
        <f>Matrix!C4</f>
        <v>Greenhouse gas (GHG) emissions from biomass production, transportation and storage (upstream)</v>
      </c>
      <c r="C5" s="654" t="str">
        <f>IF($E$3=0,"No answer given",IF((VLOOKUP(B5,Matrix!$C$4:$M$20,MATCH($E$3,Matrix!$I$3:$M$3,0)+6,0))="x","Yes","No"))</f>
        <v>No answer given</v>
      </c>
      <c r="D5" s="798">
        <v>1</v>
      </c>
      <c r="E5" s="342" t="s">
        <v>427</v>
      </c>
      <c r="F5" s="662" t="s">
        <v>503</v>
      </c>
      <c r="G5" s="343" t="s">
        <v>289</v>
      </c>
      <c r="H5" s="344"/>
      <c r="I5" s="90">
        <f>IF(ISBLANK(H5),0,IF(H5=G5,0,1))</f>
        <v>0</v>
      </c>
      <c r="J5" s="77">
        <f>I5</f>
        <v>0</v>
      </c>
      <c r="K5" s="583">
        <f>IF(C5="Yes",SUM(J5:J7),SUM(J5:J7)*0)</f>
        <v>0</v>
      </c>
      <c r="L5" s="133">
        <v>1</v>
      </c>
      <c r="M5" s="672">
        <f>IF(C5="Yes",SUM(L5:L7),SUM(L5:L7)*0)</f>
        <v>0</v>
      </c>
      <c r="N5" s="673" t="str" cm="1">
        <f t="array" ref="N5">IF(C5="Yes",IF(OR(ISBLANK(H5:H7)),"No answer given",IF(SUM(K5)&lt;=(SUM(L5:L7)/3),"Low",IF(SUM(K5)&gt;(SUM(L5:L7)*2/3),"High","Medium"))),IF(C5="No","N/A","No answer given"))</f>
        <v>No answer given</v>
      </c>
      <c r="O5" s="682" t="str">
        <f>IF(COUNTIF(N5:N10,"No answer given")&gt;0,"No answer given",IF(N10&lt;&gt;"High",IF(SUM(K5:K10)&lt;=(SUM(M5:M10)/3),"Low Risk",IF(SUM(K5:K10)&gt;(SUM(M5:M10)*2/3),"High Risk","Medium Risk")),"High Risk"))</f>
        <v>No answer given</v>
      </c>
      <c r="P5" s="769" t="s">
        <v>291</v>
      </c>
      <c r="Q5" s="309"/>
      <c r="R5" s="800" t="s">
        <v>292</v>
      </c>
      <c r="S5" s="778"/>
      <c r="T5" s="765" t="s">
        <v>600</v>
      </c>
      <c r="U5" s="51" t="s">
        <v>294</v>
      </c>
      <c r="V5" s="51">
        <v>3</v>
      </c>
      <c r="W5" s="1"/>
    </row>
    <row r="6" spans="1:23" ht="56.25" customHeight="1" x14ac:dyDescent="0.2">
      <c r="A6" s="795"/>
      <c r="B6" s="797"/>
      <c r="C6" s="655"/>
      <c r="D6" s="798"/>
      <c r="E6" s="345" t="s">
        <v>574</v>
      </c>
      <c r="F6" s="662"/>
      <c r="G6" s="343" t="s">
        <v>289</v>
      </c>
      <c r="H6" s="344"/>
      <c r="I6" s="90">
        <f>IF(ISBLANK(H6),0,IF(H6=G6,0,1))</f>
        <v>0</v>
      </c>
      <c r="J6" s="61">
        <f t="shared" ref="J6:J10" si="0">I6</f>
        <v>0</v>
      </c>
      <c r="K6" s="584"/>
      <c r="L6" s="134">
        <v>1</v>
      </c>
      <c r="M6" s="556"/>
      <c r="N6" s="764"/>
      <c r="O6" s="682"/>
      <c r="P6" s="769"/>
      <c r="Q6" s="309"/>
      <c r="R6" s="800"/>
      <c r="S6" s="779"/>
      <c r="T6" s="767"/>
      <c r="U6" s="51" t="s">
        <v>295</v>
      </c>
      <c r="V6" s="51">
        <v>2</v>
      </c>
      <c r="W6" s="1"/>
    </row>
    <row r="7" spans="1:23" ht="69" customHeight="1" x14ac:dyDescent="0.2">
      <c r="A7" s="795"/>
      <c r="B7" s="671"/>
      <c r="C7" s="656"/>
      <c r="D7" s="799"/>
      <c r="E7" s="345" t="s">
        <v>428</v>
      </c>
      <c r="F7" s="663"/>
      <c r="G7" s="346" t="s">
        <v>289</v>
      </c>
      <c r="H7" s="344"/>
      <c r="I7" s="90">
        <f>IF(ISBLANK(H7),0,IF(H7=G7,0,1))</f>
        <v>0</v>
      </c>
      <c r="J7" s="61">
        <f t="shared" si="0"/>
        <v>0</v>
      </c>
      <c r="K7" s="585"/>
      <c r="L7" s="134">
        <v>1</v>
      </c>
      <c r="M7" s="557"/>
      <c r="N7" s="674"/>
      <c r="O7" s="682"/>
      <c r="P7" s="770"/>
      <c r="Q7" s="309"/>
      <c r="R7" s="642"/>
      <c r="S7" s="780"/>
      <c r="T7" s="766"/>
      <c r="U7" s="51" t="s">
        <v>296</v>
      </c>
      <c r="V7" s="51">
        <v>1</v>
      </c>
      <c r="W7" s="1"/>
    </row>
    <row r="8" spans="1:23" ht="204.95" customHeight="1" x14ac:dyDescent="0.2">
      <c r="A8" s="795"/>
      <c r="B8" s="670" t="str">
        <f>Matrix!C5</f>
        <v>GHG emissions from biomass utilization (combustion)</v>
      </c>
      <c r="C8" s="654" t="str">
        <f>IF($E$3=0,"No answer given",IF((VLOOKUP(B8,Matrix!$C$4:$M$20,MATCH($E$3,Matrix!$I$3:$M$3,0)+6,0))="x","Yes","No"))</f>
        <v>No answer given</v>
      </c>
      <c r="D8" s="271">
        <v>2</v>
      </c>
      <c r="E8" s="259" t="s">
        <v>297</v>
      </c>
      <c r="F8" s="264" t="s">
        <v>659</v>
      </c>
      <c r="G8" s="264"/>
      <c r="H8" s="265"/>
      <c r="I8" s="58" cm="1">
        <f t="array" ref="I8">IF(ISBLANK(H8),0,_xlfn.SWITCH(H8,"A",2,"D",2,"B",1,"C",0))</f>
        <v>0</v>
      </c>
      <c r="J8" s="61">
        <f t="shared" si="0"/>
        <v>0</v>
      </c>
      <c r="K8" s="583">
        <f>IF(C8="Yes",SUM(J8:J9),SUM(J8:J9)*0)</f>
        <v>0</v>
      </c>
      <c r="L8" s="134">
        <v>2</v>
      </c>
      <c r="M8" s="672">
        <f>IF(C8="Yes",SUM(L8:L9),SUM(L8:L9)*0)</f>
        <v>0</v>
      </c>
      <c r="N8" s="673" t="str" cm="1">
        <f t="array" ref="N8">IF(C8="Yes",IF(OR(ISBLANK(H8:H9)),"No answer given",IF(SUM(J8:J9)&lt;=(SUM(L8:L9)/3),"Low",IF(SUM(J8:J9)&gt;(SUM(L8:L9)*2/3),"High","Medium"))),IF(C8="No","N/A","No answer given"))</f>
        <v>No answer given</v>
      </c>
      <c r="O8" s="682"/>
      <c r="P8" s="266" t="s">
        <v>299</v>
      </c>
      <c r="Q8" s="308"/>
      <c r="R8" s="266"/>
      <c r="S8" s="261"/>
      <c r="T8" s="765" t="s">
        <v>601</v>
      </c>
      <c r="U8" s="57" t="s">
        <v>302</v>
      </c>
      <c r="V8" s="57">
        <v>0</v>
      </c>
      <c r="W8" s="1"/>
    </row>
    <row r="9" spans="1:23" ht="204.95" customHeight="1" x14ac:dyDescent="0.2">
      <c r="A9" s="795"/>
      <c r="B9" s="671"/>
      <c r="C9" s="656"/>
      <c r="D9" s="271">
        <v>3</v>
      </c>
      <c r="E9" s="259" t="s">
        <v>399</v>
      </c>
      <c r="F9" s="276" t="s">
        <v>436</v>
      </c>
      <c r="G9" s="266"/>
      <c r="H9" s="265"/>
      <c r="I9" s="58" cm="1">
        <f t="array" ref="I9">IF(ISBLANK(H9),0,_xlfn.SWITCH(H9,"A",1,"C",1,"B",0))</f>
        <v>0</v>
      </c>
      <c r="J9" s="61">
        <f t="shared" si="0"/>
        <v>0</v>
      </c>
      <c r="K9" s="585"/>
      <c r="L9" s="134">
        <v>1</v>
      </c>
      <c r="M9" s="557"/>
      <c r="N9" s="674"/>
      <c r="O9" s="682"/>
      <c r="P9" s="266"/>
      <c r="Q9" s="308"/>
      <c r="R9" s="266" t="s">
        <v>671</v>
      </c>
      <c r="S9" s="273" t="s">
        <v>538</v>
      </c>
      <c r="T9" s="766"/>
      <c r="U9" s="57" t="s">
        <v>502</v>
      </c>
      <c r="V9" s="57"/>
      <c r="W9" s="1"/>
    </row>
    <row r="10" spans="1:23" ht="408.75" customHeight="1" x14ac:dyDescent="0.2">
      <c r="A10" s="796"/>
      <c r="B10" s="269" t="str">
        <f>Matrix!C6</f>
        <v>Impact on carbon sinks (such as deforestation)</v>
      </c>
      <c r="C10" s="274" t="str">
        <f>IF($E$3=0,"No answer given",IF((VLOOKUP(B10,Matrix!$C$4:$M$20,MATCH($E$3,Matrix!$I$3:$M$3,0)+6,0))="x","Yes","No"))</f>
        <v>No answer given</v>
      </c>
      <c r="D10" s="298">
        <v>4</v>
      </c>
      <c r="E10" s="275" t="s">
        <v>400</v>
      </c>
      <c r="F10" s="276" t="s">
        <v>476</v>
      </c>
      <c r="G10" s="276"/>
      <c r="H10" s="265"/>
      <c r="I10" s="58" cm="1">
        <f t="array" ref="I10">IF(ISBLANK(H10),0,_xlfn.SWITCH(H10,"A",3,"D",3,"B",2,"C",1))</f>
        <v>0</v>
      </c>
      <c r="J10" s="61">
        <f t="shared" si="0"/>
        <v>0</v>
      </c>
      <c r="K10" s="61">
        <f>IF(C10="Yes",SUM(J10),SUM(J10)*0)</f>
        <v>0</v>
      </c>
      <c r="L10" s="134">
        <v>3</v>
      </c>
      <c r="M10" s="134">
        <f>IF(C10="Yes",SUM(L10),SUM(L10)*0)</f>
        <v>0</v>
      </c>
      <c r="N10" s="201" t="str">
        <f>IF(C10="Yes",IF(OR(ISBLANK(H10)),"No answer given",IF(SUM(J10)&lt;=(SUM(L10)/3),"Low",IF(SUM(J10)&gt;(SUM(L10)*2/3),"High","Medium"))),IF(C10="No","N/A","No answer given"))</f>
        <v>No answer given</v>
      </c>
      <c r="O10" s="682"/>
      <c r="P10" s="277" t="s">
        <v>308</v>
      </c>
      <c r="Q10" s="309"/>
      <c r="R10" s="266" t="s">
        <v>672</v>
      </c>
      <c r="S10" s="273" t="s">
        <v>67</v>
      </c>
      <c r="T10" s="268" t="s">
        <v>602</v>
      </c>
      <c r="U10" s="57" t="s">
        <v>290</v>
      </c>
      <c r="V10" s="57" t="s">
        <v>290</v>
      </c>
      <c r="W10" s="1"/>
    </row>
    <row r="11" spans="1:23" ht="365.25" customHeight="1" x14ac:dyDescent="0.2">
      <c r="A11" s="781" t="s">
        <v>268</v>
      </c>
      <c r="B11" s="348" t="str">
        <f>Matrix!C7</f>
        <v>Loss of natural habitats causing loss of biodiversity (such as deforestation) from land-use change (LUC) and indirect land-use change (ILUC)</v>
      </c>
      <c r="C11" s="274" t="str">
        <f>IF($E$3=0,"No answer given",IF((VLOOKUP(B11,Matrix!$C$4:$M$20,MATCH($E$3,Matrix!$I$3:$M$3,0)+6,0))="x","Yes","No"))</f>
        <v>No answer given</v>
      </c>
      <c r="D11" s="298">
        <v>5</v>
      </c>
      <c r="E11" s="275" t="s">
        <v>401</v>
      </c>
      <c r="F11" s="282" t="s">
        <v>477</v>
      </c>
      <c r="G11" s="282"/>
      <c r="H11" s="265"/>
      <c r="I11" s="58" cm="1">
        <f t="array" ref="I11">IF(ISBLANK(H11),0,_xlfn.SWITCH(H11,"A",3,"D",3,"B",2,"C",1))</f>
        <v>0</v>
      </c>
      <c r="J11" s="99">
        <f>I11</f>
        <v>0</v>
      </c>
      <c r="K11" s="99">
        <f>IF(C11="Yes",SUM(J11),SUM(J11)*0)</f>
        <v>0</v>
      </c>
      <c r="L11" s="135">
        <v>3</v>
      </c>
      <c r="M11" s="134">
        <f>IF(C11="Yes",SUM(L11),SUM(L11)*0)</f>
        <v>0</v>
      </c>
      <c r="N11" s="201" t="str">
        <f t="shared" ref="N11:N12" si="1">IF(C11="Yes",IF(OR(ISBLANK(H11)),"No answer given",IF(SUM(J11)&lt;=(SUM(L11)/3),"Low",IF(SUM(J11)&gt;(SUM(L11)*2/3),"High","Medium"))),IF(C11="No","N/A","No answer given"))</f>
        <v>No answer given</v>
      </c>
      <c r="O11" s="681" t="str">
        <f>IF(COUNTIF(N11:N15,"No answer given")&gt;0,"No answer given",IF(N11&lt;&gt;"High",(IF(SUM(K11:K15)&lt;=(SUM(M11:M15)/3),"Low Risk",IF(SUM(K11:K15)&gt;(SUM(M11:M15)*2/3),"High Risk","Medium Risk"))),"High Risk"))</f>
        <v>No answer given</v>
      </c>
      <c r="P11" s="277" t="s">
        <v>662</v>
      </c>
      <c r="Q11" s="310"/>
      <c r="R11" s="266" t="s">
        <v>559</v>
      </c>
      <c r="S11" s="273" t="s">
        <v>543</v>
      </c>
      <c r="T11" s="275" t="s">
        <v>612</v>
      </c>
      <c r="U11" s="51" t="s">
        <v>289</v>
      </c>
      <c r="V11" s="51" t="s">
        <v>402</v>
      </c>
      <c r="W11" s="1"/>
    </row>
    <row r="12" spans="1:23" ht="321.75" customHeight="1" x14ac:dyDescent="0.2">
      <c r="A12" s="782"/>
      <c r="B12" s="348" t="str">
        <f>Matrix!C8</f>
        <v>Loss of biodiversity due to increased use of chemicals (pesticides, herbicides, etc.)</v>
      </c>
      <c r="C12" s="274" t="str">
        <f>IF($E$3=0,"No answer given",IF((VLOOKUP(B12,Matrix!$C$4:$M$20,MATCH($E$3,Matrix!$I$3:$M$3,0)+6,0))="x","Yes","No"))</f>
        <v>No answer given</v>
      </c>
      <c r="D12" s="298">
        <v>6</v>
      </c>
      <c r="E12" s="275" t="s">
        <v>316</v>
      </c>
      <c r="F12" s="261" t="s">
        <v>623</v>
      </c>
      <c r="G12" s="261"/>
      <c r="H12" s="265"/>
      <c r="I12" s="289" cm="1">
        <f t="array" ref="I12">IF(ISBLANK(H12),0,_xlfn.SWITCH(H12,"A",3,"E",3,"B",2,"C",1,"D",0))</f>
        <v>0</v>
      </c>
      <c r="J12" s="61">
        <f t="shared" ref="J12:J18" si="2">I12</f>
        <v>0</v>
      </c>
      <c r="K12" s="99">
        <f>IF(C12="Yes",SUM(J12),SUM(J12)*0)</f>
        <v>0</v>
      </c>
      <c r="L12" s="135">
        <v>3</v>
      </c>
      <c r="M12" s="134">
        <f>IF(C12="Yes",SUM(L12),SUM(L12)*0)</f>
        <v>0</v>
      </c>
      <c r="N12" s="201" t="str">
        <f t="shared" si="1"/>
        <v>No answer given</v>
      </c>
      <c r="O12" s="682"/>
      <c r="P12" s="277" t="s">
        <v>318</v>
      </c>
      <c r="Q12" s="310"/>
      <c r="R12" s="266" t="s">
        <v>560</v>
      </c>
      <c r="S12" s="273" t="s">
        <v>539</v>
      </c>
      <c r="T12" s="275" t="s">
        <v>613</v>
      </c>
      <c r="U12" s="51" t="s">
        <v>403</v>
      </c>
      <c r="V12" s="51" t="s">
        <v>289</v>
      </c>
      <c r="W12" s="1"/>
    </row>
    <row r="13" spans="1:23" ht="187.5" customHeight="1" x14ac:dyDescent="0.2">
      <c r="A13" s="782"/>
      <c r="B13" s="789" t="str">
        <f>Matrix!C9</f>
        <v>Water consumption for biomass production</v>
      </c>
      <c r="C13" s="654" t="str">
        <f>IF($E$3=0,"No answer given",IF((VLOOKUP(B13,Matrix!$C$4:$M$20,MATCH($E$3,Matrix!$I$3:$M$3,0)+6,0))="x","Yes","No"))</f>
        <v>No answer given</v>
      </c>
      <c r="D13" s="298">
        <v>7</v>
      </c>
      <c r="E13" s="275" t="s">
        <v>404</v>
      </c>
      <c r="F13" s="288" t="s">
        <v>546</v>
      </c>
      <c r="G13" s="349"/>
      <c r="H13" s="265"/>
      <c r="I13" s="289" cm="1">
        <f t="array" ref="I13">IF(ISBLANK(H13),0,_xlfn.SWITCH(H13,"A",3,"E",3,"B",2,"C",1,"D",0))</f>
        <v>0</v>
      </c>
      <c r="J13" s="99">
        <f t="shared" si="2"/>
        <v>0</v>
      </c>
      <c r="K13" s="783">
        <f>IF(C13="Yes",SUM(J13:J14),SUM(J13:J14)*0)</f>
        <v>0</v>
      </c>
      <c r="L13" s="135">
        <v>3</v>
      </c>
      <c r="M13" s="785">
        <f>IF(C13="Yes",SUM(L13:L14),SUM(L13:L14)*0)</f>
        <v>0</v>
      </c>
      <c r="N13" s="760" t="str" cm="1">
        <f t="array" ref="N13">IF(C13="Yes",IF(OR(ISBLANK(H13:H14)),"No answer given",IF(SUM(J13:J14)&lt;=(SUM(L13:L14)/3),"Low",IF(SUM(J13:J14)&gt;(SUM(L13:L14)*2/3),"High","Medium"))),IF(C13="No","N/A","No answer given"))</f>
        <v>No answer given</v>
      </c>
      <c r="O13" s="682"/>
      <c r="P13" s="277" t="s">
        <v>324</v>
      </c>
      <c r="Q13" s="310"/>
      <c r="R13" s="266" t="s">
        <v>561</v>
      </c>
      <c r="S13" s="273" t="s">
        <v>80</v>
      </c>
      <c r="T13" s="762" t="s">
        <v>605</v>
      </c>
      <c r="U13" s="51"/>
      <c r="V13" s="51" t="s">
        <v>403</v>
      </c>
      <c r="W13" s="1"/>
    </row>
    <row r="14" spans="1:23" ht="115.5" customHeight="1" x14ac:dyDescent="0.3">
      <c r="A14" s="782"/>
      <c r="B14" s="790"/>
      <c r="C14" s="656"/>
      <c r="D14" s="298">
        <v>8</v>
      </c>
      <c r="E14" s="275" t="s">
        <v>622</v>
      </c>
      <c r="F14" s="266" t="s">
        <v>478</v>
      </c>
      <c r="G14" s="266" t="s">
        <v>289</v>
      </c>
      <c r="H14" s="265"/>
      <c r="I14" s="58">
        <f>IF(ISBLANK(H14),0,IF(H14=G14,0,1))</f>
        <v>0</v>
      </c>
      <c r="J14" s="61">
        <f t="shared" si="2"/>
        <v>0</v>
      </c>
      <c r="K14" s="784"/>
      <c r="L14" s="135">
        <v>1</v>
      </c>
      <c r="M14" s="786"/>
      <c r="N14" s="761"/>
      <c r="O14" s="682"/>
      <c r="P14" s="296" t="s">
        <v>327</v>
      </c>
      <c r="Q14" s="311"/>
      <c r="R14" s="266" t="s">
        <v>328</v>
      </c>
      <c r="S14" s="261"/>
      <c r="T14" s="763"/>
      <c r="U14" s="57"/>
      <c r="V14" s="57"/>
      <c r="W14" s="1"/>
    </row>
    <row r="15" spans="1:23" ht="321" customHeight="1" x14ac:dyDescent="0.3">
      <c r="A15" s="782"/>
      <c r="B15" s="348" t="str">
        <f>Matrix!C10</f>
        <v>Water &amp; soil contamination</v>
      </c>
      <c r="C15" s="274" t="str">
        <f>IF($E$3=0,"No answer given",IF((VLOOKUP(B15,Matrix!$C$4:$M$20,MATCH($E$3,Matrix!$I$3:$M$3,0)+6,0))="x","Yes","No"))</f>
        <v>No answer given</v>
      </c>
      <c r="D15" s="298">
        <v>9</v>
      </c>
      <c r="E15" s="275" t="s">
        <v>673</v>
      </c>
      <c r="F15" s="295" t="s">
        <v>548</v>
      </c>
      <c r="G15" s="266"/>
      <c r="H15" s="265"/>
      <c r="I15" s="289" cm="1">
        <f t="array" ref="I15">IF(ISBLANK(H15),0,_xlfn.SWITCH(H15,"A",3,"E",3,"B",2,"C",1,"D",0))</f>
        <v>0</v>
      </c>
      <c r="J15" s="61">
        <f t="shared" si="2"/>
        <v>0</v>
      </c>
      <c r="K15" s="61">
        <f>IF(C15="Yes",SUM(J15),SUM(J15)*0)</f>
        <v>0</v>
      </c>
      <c r="L15" s="135">
        <v>3</v>
      </c>
      <c r="M15" s="135">
        <f>IF(C15="Yes",SUM(L15),SUM(L15)*0)</f>
        <v>0</v>
      </c>
      <c r="N15" s="201" t="str">
        <f>IF(C15="Yes",IF(OR(ISBLANK(H15)),"No answer given",IF(SUM(J15)&lt;=(SUM(L15)/3),"Low",IF(SUM(J15)&gt;(SUM(L15)*2/3),"High","Medium"))),IF(C15="No","N/A","No answer given"))</f>
        <v>No answer given</v>
      </c>
      <c r="O15" s="683"/>
      <c r="P15" s="296" t="s">
        <v>674</v>
      </c>
      <c r="Q15" s="311"/>
      <c r="R15" s="266" t="s">
        <v>482</v>
      </c>
      <c r="S15" s="261"/>
      <c r="T15" s="350" t="s">
        <v>606</v>
      </c>
      <c r="U15" s="57"/>
      <c r="V15" s="57"/>
      <c r="W15" s="1"/>
    </row>
    <row r="16" spans="1:23" ht="224.25" customHeight="1" x14ac:dyDescent="0.3">
      <c r="A16" s="729" t="s">
        <v>256</v>
      </c>
      <c r="B16" s="351" t="str">
        <f>Matrix!C11</f>
        <v>Open field burning of agricultural waste and wildfires</v>
      </c>
      <c r="C16" s="274" t="str">
        <f>IF($E$3=0,"No answer given",IF((VLOOKUP(B16,Matrix!$C$4:$M$20,MATCH($E$3,Matrix!$I$3:$M$3,0)+6,0))="x","Yes","No"))</f>
        <v>No answer given</v>
      </c>
      <c r="D16" s="298">
        <v>10</v>
      </c>
      <c r="E16" s="275" t="s">
        <v>663</v>
      </c>
      <c r="F16" s="266" t="s">
        <v>478</v>
      </c>
      <c r="G16" s="266" t="s">
        <v>289</v>
      </c>
      <c r="H16" s="344"/>
      <c r="I16" s="58">
        <f>IF(ISBLANK(H16),0,IF(H16=G16,0,1))</f>
        <v>0</v>
      </c>
      <c r="J16" s="101">
        <f t="shared" si="2"/>
        <v>0</v>
      </c>
      <c r="K16" s="61">
        <f>IF(C16="Yes",SUM(J16),SUM(J16)*0)</f>
        <v>0</v>
      </c>
      <c r="L16" s="136">
        <v>1</v>
      </c>
      <c r="M16" s="135">
        <f>IF(C16="Yes",SUM(L16),SUM(L16)*0)</f>
        <v>0</v>
      </c>
      <c r="N16" s="201" t="str">
        <f t="shared" ref="N16:N18" si="3">IF(C16="Yes",IF(OR(ISBLANK(H16)),"No answer given",IF(SUM(J16)&lt;=(SUM(L16)/3),"Low",IF(SUM(J16)&gt;(SUM(L16)*2/3),"High","Medium"))),IF(C16="No","N/A","No answer given"))</f>
        <v>No answer given</v>
      </c>
      <c r="O16" s="681" t="str">
        <f>IF(COUNTIF(N16:N18,"No answer given")&gt;0,"No answer given",IF(SUM(K16:K18)&lt;=(SUM(M16:M18)/3),"Low Risk",IF(SUM(K16:K18)&gt;(SUM(M16:M18)*2/3),"High Risk","Medium Risk")))</f>
        <v>No answer given</v>
      </c>
      <c r="P16" s="352" t="s">
        <v>331</v>
      </c>
      <c r="Q16" s="311"/>
      <c r="R16" s="266"/>
      <c r="S16" s="261"/>
      <c r="T16" s="268" t="s">
        <v>664</v>
      </c>
      <c r="U16" s="51"/>
      <c r="V16" s="51"/>
      <c r="W16" s="1"/>
    </row>
    <row r="17" spans="1:22" ht="314.25" customHeight="1" x14ac:dyDescent="0.3">
      <c r="A17" s="729"/>
      <c r="B17" s="351" t="str">
        <f>Matrix!C12</f>
        <v>Air contaminants emissions during production processes</v>
      </c>
      <c r="C17" s="274" t="str">
        <f>IF($E$3=0,"No answer given",IF((VLOOKUP(B17,Matrix!$C$4:$M$20,MATCH($E$3,Matrix!$I$3:$M$3,0)+6,0))="x","Yes","No"))</f>
        <v>No answer given</v>
      </c>
      <c r="D17" s="298">
        <v>11</v>
      </c>
      <c r="E17" s="275" t="s">
        <v>675</v>
      </c>
      <c r="F17" s="266" t="s">
        <v>548</v>
      </c>
      <c r="G17" s="266"/>
      <c r="H17" s="265"/>
      <c r="I17" s="289" cm="1">
        <f t="array" ref="I17">IF(ISBLANK(H17),0,_xlfn.SWITCH(H17,"A",3,"E",3,"B",2,"C",1,"D",0))</f>
        <v>0</v>
      </c>
      <c r="J17" s="62">
        <f t="shared" si="2"/>
        <v>0</v>
      </c>
      <c r="K17" s="61">
        <f t="shared" ref="K17" si="4">IF(C17="Yes",SUM(J17),SUM(J17)*0)</f>
        <v>0</v>
      </c>
      <c r="L17" s="136">
        <v>3</v>
      </c>
      <c r="M17" s="135">
        <f t="shared" ref="M17:M18" si="5">IF(C17="Yes",SUM(L17),SUM(L17)*0)</f>
        <v>0</v>
      </c>
      <c r="N17" s="201" t="str">
        <f t="shared" si="3"/>
        <v>No answer given</v>
      </c>
      <c r="O17" s="682"/>
      <c r="P17" s="296" t="s">
        <v>674</v>
      </c>
      <c r="Q17" s="311"/>
      <c r="R17" s="266" t="s">
        <v>676</v>
      </c>
      <c r="S17" s="261"/>
      <c r="T17" s="347" t="s">
        <v>607</v>
      </c>
      <c r="U17" s="57"/>
      <c r="V17" s="57"/>
    </row>
    <row r="18" spans="1:22" ht="233.25" customHeight="1" x14ac:dyDescent="0.2">
      <c r="A18" s="729"/>
      <c r="B18" s="351" t="str">
        <f>Matrix!C13</f>
        <v>Air contaminants emissions from biomass combustion</v>
      </c>
      <c r="C18" s="274" t="str">
        <f>IF($E$3=0,"No answer given",IF((VLOOKUP(B18,Matrix!$C$4:$M$20,MATCH($E$3,Matrix!$I$3:$M$3,0)+6,0))="x","Yes","No"))</f>
        <v>No answer given</v>
      </c>
      <c r="D18" s="298">
        <v>12</v>
      </c>
      <c r="E18" s="275" t="s">
        <v>405</v>
      </c>
      <c r="F18" s="266" t="s">
        <v>556</v>
      </c>
      <c r="G18" s="266"/>
      <c r="H18" s="293"/>
      <c r="I18" s="289" cm="1">
        <f t="array" ref="I18">IF(ISBLANK(H18),0,_xlfn.SWITCH(H18,"A",3,"E",3,"B",2,"C",1,"D",0))</f>
        <v>0</v>
      </c>
      <c r="J18" s="62">
        <f t="shared" si="2"/>
        <v>0</v>
      </c>
      <c r="K18" s="61">
        <f>IF(C18="Yes",SUM(J18),SUM(J18)*0)</f>
        <v>0</v>
      </c>
      <c r="L18" s="136">
        <v>3</v>
      </c>
      <c r="M18" s="135">
        <f t="shared" si="5"/>
        <v>0</v>
      </c>
      <c r="N18" s="201" t="str">
        <f t="shared" si="3"/>
        <v>No answer given</v>
      </c>
      <c r="O18" s="683"/>
      <c r="P18" s="266" t="s">
        <v>677</v>
      </c>
      <c r="Q18" s="308"/>
      <c r="R18" s="266" t="s">
        <v>678</v>
      </c>
      <c r="S18" s="261"/>
      <c r="T18" s="350" t="s">
        <v>487</v>
      </c>
      <c r="U18" s="1"/>
      <c r="V18" s="1"/>
    </row>
    <row r="19" spans="1:22" ht="90" customHeight="1" x14ac:dyDescent="0.3">
      <c r="A19" s="668" t="s">
        <v>60</v>
      </c>
      <c r="B19" s="787" t="str">
        <f>Matrix!C14</f>
        <v>Land rights</v>
      </c>
      <c r="C19" s="654" t="str">
        <f>IF($E$3=0,"No answer given",IF((VLOOKUP(B19,Matrix!$C$4:$M$20,MATCH($E$3,Matrix!$I$3:$M$3,0)+6,0))="x","Yes","No"))</f>
        <v>No answer given</v>
      </c>
      <c r="D19" s="298">
        <v>13</v>
      </c>
      <c r="E19" s="275" t="s">
        <v>429</v>
      </c>
      <c r="F19" s="266" t="s">
        <v>478</v>
      </c>
      <c r="G19" s="266" t="s">
        <v>290</v>
      </c>
      <c r="H19" s="265"/>
      <c r="I19" s="58">
        <f>IF(ISBLANK(H19),0,IF(H19=G19,0,1))</f>
        <v>0</v>
      </c>
      <c r="J19" s="62">
        <f t="shared" ref="J19:J20" si="6">I19</f>
        <v>0</v>
      </c>
      <c r="K19" s="583">
        <f>IF(C19="Yes",SUM(J19:J20),SUM(J19:J20)*0)</f>
        <v>0</v>
      </c>
      <c r="L19" s="137">
        <v>1</v>
      </c>
      <c r="M19" s="583">
        <f>IF(C19="Yes",SUM(L19:L20),SUM(L19:L20)*0)</f>
        <v>0</v>
      </c>
      <c r="N19" s="760" t="str" cm="1">
        <f t="array" ref="N19">IF(C19="Yes",IF(OR(ISBLANK(H19:H20)),"No answer given",IF(SUM(J19:J20)&lt;=(SUM(L19:L20)/3),"Low",IF(SUM(J19:J20)&gt;(SUM(L19:L20)*2/3),"High","Medium"))),IF(C19="No","N/A","No answer given"))</f>
        <v>No answer given</v>
      </c>
      <c r="O19" s="681" t="str">
        <f>IF(COUNTIF(N19:N27,"No answer given")&gt;0,"No answer given",IF(N24="High","High Risk",IF(SUM(K19:K27)&lt;=(SUM(M19:M27)/3),"Low Risk",IF(SUM(K19:K27)&gt;(SUM(M19:M27)*2/3),"High Risk","Medium Risk"))))</f>
        <v>No answer given</v>
      </c>
      <c r="P19" s="296" t="s">
        <v>337</v>
      </c>
      <c r="Q19" s="311"/>
      <c r="R19" s="266" t="s">
        <v>338</v>
      </c>
      <c r="S19" s="261"/>
      <c r="T19" s="765" t="s">
        <v>608</v>
      </c>
      <c r="U19" s="51"/>
      <c r="V19" s="51"/>
    </row>
    <row r="20" spans="1:22" ht="207" customHeight="1" x14ac:dyDescent="0.3">
      <c r="A20" s="668"/>
      <c r="B20" s="787"/>
      <c r="C20" s="656"/>
      <c r="D20" s="298">
        <v>14</v>
      </c>
      <c r="E20" s="275" t="s">
        <v>666</v>
      </c>
      <c r="F20" s="266" t="s">
        <v>478</v>
      </c>
      <c r="G20" s="266" t="s">
        <v>289</v>
      </c>
      <c r="H20" s="265"/>
      <c r="I20" s="58">
        <f>IF(ISBLANK(H20),0,IF(H20=G20,0,1))</f>
        <v>0</v>
      </c>
      <c r="J20" s="62">
        <f t="shared" si="6"/>
        <v>0</v>
      </c>
      <c r="K20" s="585"/>
      <c r="L20" s="137">
        <v>1</v>
      </c>
      <c r="M20" s="585"/>
      <c r="N20" s="761"/>
      <c r="O20" s="682"/>
      <c r="P20" s="296" t="s">
        <v>340</v>
      </c>
      <c r="Q20" s="311"/>
      <c r="R20" s="266" t="s">
        <v>562</v>
      </c>
      <c r="S20" s="273" t="s">
        <v>540</v>
      </c>
      <c r="T20" s="766"/>
      <c r="U20" s="51"/>
      <c r="V20" s="51"/>
    </row>
    <row r="21" spans="1:22" ht="277.5" customHeight="1" x14ac:dyDescent="0.3">
      <c r="A21" s="668"/>
      <c r="B21" s="294" t="str">
        <f>Matrix!C15</f>
        <v>Community health and safety</v>
      </c>
      <c r="C21" s="274" t="str">
        <f>IF($E$3=0,"No answer given",IF((VLOOKUP(B21,Matrix!$C$4:$M$20,MATCH($E$3,Matrix!$I$3:$M$3,0)+6,0))="x","Yes","No"))</f>
        <v>No answer given</v>
      </c>
      <c r="D21" s="298">
        <v>15</v>
      </c>
      <c r="E21" s="268" t="s">
        <v>484</v>
      </c>
      <c r="F21" s="266" t="s">
        <v>478</v>
      </c>
      <c r="G21" s="266" t="s">
        <v>289</v>
      </c>
      <c r="H21" s="265"/>
      <c r="I21" s="58">
        <f>IF(ISBLANK(H21),0,IF(H21=G21,0,1))</f>
        <v>0</v>
      </c>
      <c r="J21" s="60">
        <f>AVERAGE(I21,I15:I17)</f>
        <v>0</v>
      </c>
      <c r="K21" s="60">
        <f>SUM(J21)</f>
        <v>0</v>
      </c>
      <c r="L21" s="137">
        <v>2</v>
      </c>
      <c r="M21" s="137">
        <f>L21</f>
        <v>2</v>
      </c>
      <c r="N21" s="201" t="str">
        <f t="shared" ref="N21:N22" si="7">IF(C21="Yes",IF(OR(ISBLANK(H21)),"No answer given",IF(SUM(J21)&lt;=(SUM(L21)/3),"Low",IF(SUM(J21)&gt;(SUM(L21)*2/3),"High","Medium"))),IF(C21="No","N/A","No answer given"))</f>
        <v>No answer given</v>
      </c>
      <c r="O21" s="682"/>
      <c r="P21" s="296" t="s">
        <v>345</v>
      </c>
      <c r="Q21" s="311"/>
      <c r="R21" s="266" t="s">
        <v>485</v>
      </c>
      <c r="S21" s="261"/>
      <c r="T21" s="268" t="s">
        <v>592</v>
      </c>
      <c r="U21" s="49"/>
      <c r="V21" s="49"/>
    </row>
    <row r="22" spans="1:22" ht="164.25" customHeight="1" x14ac:dyDescent="0.3">
      <c r="A22" s="668"/>
      <c r="B22" s="294" t="str">
        <f>Matrix!C16</f>
        <v>Decent remuneration and compensation for workers</v>
      </c>
      <c r="C22" s="274" t="str">
        <f>IF($E$3=0,"No answer given",IF((VLOOKUP(B22,Matrix!$C$4:$M$20,MATCH($E$3,Matrix!$I$3:$M$3,0)+6,0))="x","Yes","No"))</f>
        <v>No answer given</v>
      </c>
      <c r="D22" s="298">
        <v>16</v>
      </c>
      <c r="E22" s="268" t="s">
        <v>347</v>
      </c>
      <c r="F22" s="268" t="s">
        <v>348</v>
      </c>
      <c r="G22" s="266"/>
      <c r="H22" s="300"/>
      <c r="I22" s="58" cm="1">
        <f t="array" ref="I22">IF(ISBLANK(H22),0,_xlfn.SWITCH(H22,"Y",0,"Partially",1,"N",2,"Unknown",2))</f>
        <v>0</v>
      </c>
      <c r="J22" s="61">
        <f>I22</f>
        <v>0</v>
      </c>
      <c r="K22" s="99">
        <f>IF(C22="Yes",SUM(J22),SUM(J22)*0)</f>
        <v>0</v>
      </c>
      <c r="L22" s="137">
        <v>2</v>
      </c>
      <c r="M22" s="137">
        <f>IF(C22="Yes",SUM(L22),SUM(L22)*0)</f>
        <v>0</v>
      </c>
      <c r="N22" s="201" t="str">
        <f t="shared" si="7"/>
        <v>No answer given</v>
      </c>
      <c r="O22" s="682"/>
      <c r="P22" s="296" t="s">
        <v>349</v>
      </c>
      <c r="Q22" s="353"/>
      <c r="R22" s="266" t="s">
        <v>679</v>
      </c>
      <c r="S22" s="261"/>
      <c r="T22" s="268" t="s">
        <v>667</v>
      </c>
      <c r="U22" s="49"/>
      <c r="V22" s="49"/>
    </row>
    <row r="23" spans="1:22" ht="153.75" customHeight="1" x14ac:dyDescent="0.3">
      <c r="A23" s="668"/>
      <c r="B23" s="294" t="str">
        <f>Matrix!C17</f>
        <v>Occupational health and safety</v>
      </c>
      <c r="C23" s="274" t="str">
        <f>IF($E$3=0,"No answer given",IF((VLOOKUP(B23,Matrix!$C$4:$M$20,MATCH($E$3,Matrix!$I$3:$M$3,0)+6,0))="x","Yes","No"))</f>
        <v>No answer given</v>
      </c>
      <c r="D23" s="298">
        <v>17</v>
      </c>
      <c r="E23" s="345" t="s">
        <v>680</v>
      </c>
      <c r="F23" s="266" t="s">
        <v>455</v>
      </c>
      <c r="G23" s="266" t="s">
        <v>290</v>
      </c>
      <c r="H23" s="300"/>
      <c r="I23" s="58">
        <f>IF(ISBLANK(H23),0,IF(H23=G23,0,1))</f>
        <v>0</v>
      </c>
      <c r="J23" s="60">
        <f>AVERAGE(I23,I17:I18,I15)</f>
        <v>0</v>
      </c>
      <c r="K23" s="170">
        <f>IF(C23="Yes",SUM(J23),SUM(J23)*0)</f>
        <v>0</v>
      </c>
      <c r="L23" s="137">
        <v>2.5</v>
      </c>
      <c r="M23" s="137">
        <f>IF(C23="Yes",SUM(L23),SUM(L23)*0)</f>
        <v>0</v>
      </c>
      <c r="N23" s="201" t="str">
        <f>IF(C23="Yes",IF(OR(ISBLANK(H23)),"No answer given",IF(SUM(J23)&lt;=(SUM(L23)/3),"Low",IF(SUM(J23)&gt;(SUM(L23)*2/3),"High","Medium"))),IF(C23="No","N/A","No answer given"))</f>
        <v>No answer given</v>
      </c>
      <c r="O23" s="682"/>
      <c r="P23" s="296" t="s">
        <v>352</v>
      </c>
      <c r="Q23" s="311"/>
      <c r="R23" s="354" t="s">
        <v>563</v>
      </c>
      <c r="S23" s="307"/>
      <c r="T23" s="268" t="s">
        <v>609</v>
      </c>
      <c r="U23" s="49"/>
      <c r="V23" s="49"/>
    </row>
    <row r="24" spans="1:22" ht="102.75" customHeight="1" x14ac:dyDescent="0.3">
      <c r="A24" s="668"/>
      <c r="B24" s="787" t="str">
        <f>Matrix!C18</f>
        <v xml:space="preserve">Human rights, child labor and slavery </v>
      </c>
      <c r="C24" s="654" t="str">
        <f>IF($E$3=0,"No answer given",IF((VLOOKUP(B24,Matrix!$C$4:$M$20,MATCH($E$3,Matrix!$I$3:$M$3,0)+6,0))="x","Yes","No"))</f>
        <v>No answer given</v>
      </c>
      <c r="D24" s="298">
        <v>18</v>
      </c>
      <c r="E24" s="355" t="s">
        <v>630</v>
      </c>
      <c r="F24" s="266" t="s">
        <v>455</v>
      </c>
      <c r="G24" s="266" t="s">
        <v>290</v>
      </c>
      <c r="H24" s="300"/>
      <c r="I24" s="58">
        <f t="shared" ref="I24:I26" si="8">IF(ISBLANK(H24),0,IF(H24=G24,0,1))</f>
        <v>0</v>
      </c>
      <c r="J24" s="61">
        <f>I24</f>
        <v>0</v>
      </c>
      <c r="K24" s="583">
        <f>IF(C24="Yes",SUM(J24:J27),SUM(J24:J27)*0)</f>
        <v>0</v>
      </c>
      <c r="L24" s="137">
        <v>1</v>
      </c>
      <c r="M24" s="583">
        <f>IF(C24="Yes",SUM(L24:L27),SUM(L24:L27)*0)</f>
        <v>0</v>
      </c>
      <c r="N24" s="791" t="str" cm="1">
        <f t="array" ref="N24">IF(C24="Yes",IF(OR(ISBLANK(H24:H27)),"No answer given",IF(H26="Y","High",IF(SUM(J24:J27)&lt;=(SUM(L24:L27)/3),"Low",IF(SUM(J24:J27)&gt;(SUM(L24:L27)*2/3),"High","Medium")))),IF(C24="No","N/A","No answer given"))</f>
        <v>No answer given</v>
      </c>
      <c r="O24" s="682"/>
      <c r="P24" s="296" t="s">
        <v>681</v>
      </c>
      <c r="Q24" s="313"/>
      <c r="R24" s="640" t="s">
        <v>682</v>
      </c>
      <c r="S24" s="777" t="s">
        <v>544</v>
      </c>
      <c r="T24" s="765" t="s">
        <v>610</v>
      </c>
      <c r="U24" s="49"/>
      <c r="V24" s="49"/>
    </row>
    <row r="25" spans="1:22" ht="162" customHeight="1" x14ac:dyDescent="0.3">
      <c r="A25" s="669"/>
      <c r="B25" s="788"/>
      <c r="C25" s="655"/>
      <c r="D25" s="298">
        <v>19</v>
      </c>
      <c r="E25" s="355" t="s">
        <v>430</v>
      </c>
      <c r="F25" s="266" t="s">
        <v>455</v>
      </c>
      <c r="G25" s="266" t="s">
        <v>290</v>
      </c>
      <c r="H25" s="300"/>
      <c r="I25" s="58">
        <f t="shared" si="8"/>
        <v>0</v>
      </c>
      <c r="J25" s="61">
        <f>I25</f>
        <v>0</v>
      </c>
      <c r="K25" s="584"/>
      <c r="L25" s="137">
        <v>1</v>
      </c>
      <c r="M25" s="584"/>
      <c r="N25" s="792"/>
      <c r="O25" s="682"/>
      <c r="P25" s="296" t="s">
        <v>681</v>
      </c>
      <c r="Q25" s="313"/>
      <c r="R25" s="641"/>
      <c r="S25" s="777"/>
      <c r="T25" s="767"/>
      <c r="U25" s="51"/>
      <c r="V25" s="51"/>
    </row>
    <row r="26" spans="1:22" ht="119.1" customHeight="1" x14ac:dyDescent="0.3">
      <c r="A26" s="669"/>
      <c r="B26" s="788"/>
      <c r="C26" s="655"/>
      <c r="D26" s="298">
        <v>20</v>
      </c>
      <c r="E26" s="355" t="s">
        <v>431</v>
      </c>
      <c r="F26" s="266" t="s">
        <v>455</v>
      </c>
      <c r="G26" s="266" t="s">
        <v>289</v>
      </c>
      <c r="H26" s="300"/>
      <c r="I26" s="58">
        <f t="shared" si="8"/>
        <v>0</v>
      </c>
      <c r="J26" s="61">
        <f>I26</f>
        <v>0</v>
      </c>
      <c r="K26" s="584"/>
      <c r="L26" s="137">
        <v>1</v>
      </c>
      <c r="M26" s="584"/>
      <c r="N26" s="792"/>
      <c r="O26" s="682"/>
      <c r="P26" s="296" t="s">
        <v>683</v>
      </c>
      <c r="Q26" s="313"/>
      <c r="R26" s="641"/>
      <c r="S26" s="777"/>
      <c r="T26" s="767"/>
      <c r="U26" s="51"/>
      <c r="V26" s="51"/>
    </row>
    <row r="27" spans="1:22" ht="142.5" customHeight="1" x14ac:dyDescent="0.3">
      <c r="A27" s="669"/>
      <c r="B27" s="788"/>
      <c r="C27" s="656"/>
      <c r="D27" s="298">
        <v>21</v>
      </c>
      <c r="E27" s="275" t="s">
        <v>408</v>
      </c>
      <c r="F27" s="266" t="s">
        <v>575</v>
      </c>
      <c r="G27" s="266"/>
      <c r="H27" s="300"/>
      <c r="I27" s="289" cm="1">
        <f t="array" ref="I27">IF(ISBLANK(H27),0,_xlfn.SWITCH(H27,"A",3,"D",3,"B",2,"C",1))</f>
        <v>0</v>
      </c>
      <c r="J27" s="61">
        <f t="shared" ref="J27:J36" si="9">I27</f>
        <v>0</v>
      </c>
      <c r="K27" s="585"/>
      <c r="L27" s="137">
        <v>3</v>
      </c>
      <c r="M27" s="585"/>
      <c r="N27" s="793"/>
      <c r="O27" s="683"/>
      <c r="P27" s="296" t="s">
        <v>362</v>
      </c>
      <c r="Q27" s="313"/>
      <c r="R27" s="642"/>
      <c r="S27" s="777"/>
      <c r="T27" s="766"/>
      <c r="U27" s="51"/>
      <c r="V27" s="51"/>
    </row>
    <row r="28" spans="1:22" ht="207.75" customHeight="1" x14ac:dyDescent="0.3">
      <c r="A28" s="650" t="s">
        <v>364</v>
      </c>
      <c r="B28" s="651" t="str">
        <f>Matrix!C19</f>
        <v>Impact on food availability and price</v>
      </c>
      <c r="C28" s="654" t="str">
        <f>IF($E$3=0,"No answer given",IF((VLOOKUP(B28,Matrix!$C$4:$M$20,MATCH($E$3,Matrix!$I$3:$M$3,0)+6,0))="x","Yes","No"))</f>
        <v>No answer given</v>
      </c>
      <c r="D28" s="298">
        <v>22</v>
      </c>
      <c r="E28" s="275" t="s">
        <v>410</v>
      </c>
      <c r="F28" s="356" t="s">
        <v>549</v>
      </c>
      <c r="G28" s="266"/>
      <c r="H28" s="300"/>
      <c r="I28" s="58" cm="1">
        <f t="array" ref="I28">IF(ISBLANK(H28),0,_xlfn.SWITCH(H28,"A",1,"B",2,"C",3,"D",4,"E",5,"F",5))</f>
        <v>0</v>
      </c>
      <c r="J28" s="61">
        <f t="shared" si="9"/>
        <v>0</v>
      </c>
      <c r="K28" s="583">
        <f>IF(C28="Yes",SUM(J28:J34),SUM(J28:J34)*0)</f>
        <v>0</v>
      </c>
      <c r="L28" s="138">
        <v>5</v>
      </c>
      <c r="M28" s="594">
        <f>IF(C28="Yes",SUM(L28:L34),SUM(L28:L34)*0)</f>
        <v>0</v>
      </c>
      <c r="N28" s="757" t="str" cm="1">
        <f t="array" ref="N28">IF(C28="Yes",IF(OR(ISBLANK(H28:H34)),"No answer given",IF(SUM(J28:J34)&lt;=(SUM(L28:L34)/3),"Low",IF(SUM(J28:J34)&gt;(SUM(L28:L34)*2/3),"High","Medium"))),IF(C28="No","N/A","No answer given"))</f>
        <v>No answer given</v>
      </c>
      <c r="O28" s="681" t="str">
        <f>IF(COUNTIF(N28:N36,"No answer given")&gt;0,"No answer given",IF(N28="High","High Risk",IF(SUM(K28:K36)&lt;=(SUM(M28:M36)/3),"Low Risk",IF(SUM(K28:K36)&gt;(SUM(M28:M36)*2/3),"High Risk","Medium Risk"))))</f>
        <v>No answer given</v>
      </c>
      <c r="P28" s="296" t="s">
        <v>657</v>
      </c>
      <c r="Q28" s="311"/>
      <c r="R28" s="312" t="s">
        <v>564</v>
      </c>
      <c r="S28" s="273" t="s">
        <v>541</v>
      </c>
      <c r="T28" s="765" t="s">
        <v>614</v>
      </c>
      <c r="U28" s="51"/>
      <c r="V28" s="51"/>
    </row>
    <row r="29" spans="1:22" ht="66" customHeight="1" x14ac:dyDescent="0.2">
      <c r="A29" s="650"/>
      <c r="B29" s="652"/>
      <c r="C29" s="655"/>
      <c r="D29" s="658">
        <v>23</v>
      </c>
      <c r="E29" s="275" t="s">
        <v>571</v>
      </c>
      <c r="F29" s="661" t="s">
        <v>503</v>
      </c>
      <c r="G29" s="282" t="s">
        <v>289</v>
      </c>
      <c r="H29" s="300"/>
      <c r="I29" s="58">
        <f t="shared" ref="I29:I34" si="10">IF(ISBLANK(H29),0,IF(H29=G29,0,1))</f>
        <v>0</v>
      </c>
      <c r="J29" s="61">
        <f t="shared" si="9"/>
        <v>0</v>
      </c>
      <c r="K29" s="584"/>
      <c r="L29" s="138">
        <v>1</v>
      </c>
      <c r="M29" s="595"/>
      <c r="N29" s="758"/>
      <c r="O29" s="682"/>
      <c r="P29" s="768" t="s">
        <v>371</v>
      </c>
      <c r="Q29" s="314"/>
      <c r="R29" s="774" t="s">
        <v>488</v>
      </c>
      <c r="S29" s="778"/>
      <c r="T29" s="767"/>
      <c r="U29" s="51"/>
      <c r="V29" s="51"/>
    </row>
    <row r="30" spans="1:22" ht="27" customHeight="1" x14ac:dyDescent="0.2">
      <c r="A30" s="650"/>
      <c r="B30" s="652"/>
      <c r="C30" s="655"/>
      <c r="D30" s="659"/>
      <c r="E30" s="275" t="s">
        <v>572</v>
      </c>
      <c r="F30" s="662"/>
      <c r="G30" s="303" t="s">
        <v>289</v>
      </c>
      <c r="H30" s="300"/>
      <c r="I30" s="58">
        <f t="shared" si="10"/>
        <v>0</v>
      </c>
      <c r="J30" s="61">
        <f t="shared" si="9"/>
        <v>0</v>
      </c>
      <c r="K30" s="584"/>
      <c r="L30" s="138">
        <v>1</v>
      </c>
      <c r="M30" s="595"/>
      <c r="N30" s="758"/>
      <c r="O30" s="682"/>
      <c r="P30" s="769"/>
      <c r="Q30" s="314"/>
      <c r="R30" s="775"/>
      <c r="S30" s="779"/>
      <c r="T30" s="767"/>
      <c r="U30" s="51"/>
      <c r="V30" s="51"/>
    </row>
    <row r="31" spans="1:22" ht="48.75" customHeight="1" x14ac:dyDescent="0.2">
      <c r="A31" s="650"/>
      <c r="B31" s="652"/>
      <c r="C31" s="655"/>
      <c r="D31" s="660"/>
      <c r="E31" s="275" t="s">
        <v>373</v>
      </c>
      <c r="F31" s="663"/>
      <c r="G31" s="304" t="s">
        <v>289</v>
      </c>
      <c r="H31" s="300"/>
      <c r="I31" s="58">
        <f t="shared" si="10"/>
        <v>0</v>
      </c>
      <c r="J31" s="61">
        <f t="shared" si="9"/>
        <v>0</v>
      </c>
      <c r="K31" s="584"/>
      <c r="L31" s="138">
        <v>1</v>
      </c>
      <c r="M31" s="595"/>
      <c r="N31" s="758"/>
      <c r="O31" s="682"/>
      <c r="P31" s="770"/>
      <c r="Q31" s="314"/>
      <c r="R31" s="775"/>
      <c r="S31" s="779"/>
      <c r="T31" s="767"/>
      <c r="U31" s="51"/>
      <c r="V31" s="51"/>
    </row>
    <row r="32" spans="1:22" ht="81.599999999999994" customHeight="1" x14ac:dyDescent="0.2">
      <c r="A32" s="650"/>
      <c r="B32" s="652"/>
      <c r="C32" s="655"/>
      <c r="D32" s="658">
        <v>24</v>
      </c>
      <c r="E32" s="275" t="s">
        <v>570</v>
      </c>
      <c r="F32" s="664" t="s">
        <v>503</v>
      </c>
      <c r="G32" s="282" t="s">
        <v>289</v>
      </c>
      <c r="H32" s="300"/>
      <c r="I32" s="58">
        <f t="shared" si="10"/>
        <v>0</v>
      </c>
      <c r="J32" s="61">
        <f t="shared" si="9"/>
        <v>0</v>
      </c>
      <c r="K32" s="584"/>
      <c r="L32" s="138">
        <v>1</v>
      </c>
      <c r="M32" s="595"/>
      <c r="N32" s="758"/>
      <c r="O32" s="682"/>
      <c r="P32" s="771" t="s">
        <v>371</v>
      </c>
      <c r="Q32" s="204"/>
      <c r="R32" s="775"/>
      <c r="S32" s="779"/>
      <c r="T32" s="767"/>
      <c r="U32" s="51"/>
      <c r="V32" s="51"/>
    </row>
    <row r="33" spans="1:22" ht="87.75" customHeight="1" x14ac:dyDescent="0.2">
      <c r="A33" s="650"/>
      <c r="B33" s="652"/>
      <c r="C33" s="655"/>
      <c r="D33" s="659"/>
      <c r="E33" s="275" t="s">
        <v>569</v>
      </c>
      <c r="F33" s="665"/>
      <c r="G33" s="303" t="s">
        <v>289</v>
      </c>
      <c r="H33" s="300"/>
      <c r="I33" s="58">
        <f t="shared" si="10"/>
        <v>0</v>
      </c>
      <c r="J33" s="61">
        <f t="shared" si="9"/>
        <v>0</v>
      </c>
      <c r="K33" s="584"/>
      <c r="L33" s="138">
        <v>1</v>
      </c>
      <c r="M33" s="595"/>
      <c r="N33" s="758"/>
      <c r="O33" s="682"/>
      <c r="P33" s="772"/>
      <c r="Q33" s="204"/>
      <c r="R33" s="775"/>
      <c r="S33" s="779"/>
      <c r="T33" s="767"/>
      <c r="U33" s="51"/>
      <c r="V33" s="51"/>
    </row>
    <row r="34" spans="1:22" ht="61.5" customHeight="1" x14ac:dyDescent="0.2">
      <c r="A34" s="650"/>
      <c r="B34" s="653"/>
      <c r="C34" s="656"/>
      <c r="D34" s="660"/>
      <c r="E34" s="275" t="s">
        <v>376</v>
      </c>
      <c r="F34" s="666"/>
      <c r="G34" s="304" t="s">
        <v>289</v>
      </c>
      <c r="H34" s="300"/>
      <c r="I34" s="58">
        <f t="shared" si="10"/>
        <v>0</v>
      </c>
      <c r="J34" s="61">
        <f t="shared" si="9"/>
        <v>0</v>
      </c>
      <c r="K34" s="585"/>
      <c r="L34" s="138">
        <v>1</v>
      </c>
      <c r="M34" s="596"/>
      <c r="N34" s="759"/>
      <c r="O34" s="682"/>
      <c r="P34" s="773"/>
      <c r="Q34" s="204"/>
      <c r="R34" s="776"/>
      <c r="S34" s="780"/>
      <c r="T34" s="766"/>
      <c r="U34" s="51"/>
      <c r="V34" s="51"/>
    </row>
    <row r="35" spans="1:22" ht="171" customHeight="1" x14ac:dyDescent="0.2">
      <c r="A35" s="650"/>
      <c r="B35" s="651" t="str">
        <f>Matrix!C20</f>
        <v>Increased and equitable share of revenues &amp; employment opportunities for local communities development</v>
      </c>
      <c r="C35" s="654" t="str">
        <f>IF($E$3=0,"No answer given",IF((VLOOKUP(B35,Matrix!$C$4:$M$20,MATCH($E$3,Matrix!$I$3:$M$3,0)+6,0))="x","Yes","No"))</f>
        <v>No answer given</v>
      </c>
      <c r="D35" s="298">
        <v>25</v>
      </c>
      <c r="E35" s="275" t="s">
        <v>432</v>
      </c>
      <c r="F35" s="266" t="s">
        <v>684</v>
      </c>
      <c r="G35" s="266"/>
      <c r="H35" s="293"/>
      <c r="I35" s="289" cm="1">
        <f t="array" ref="I35">IF(ISBLANK(H35),0,_xlfn.SWITCH(H35,"A",3,"E",3,"B",2,"C",1,"D",0))</f>
        <v>0</v>
      </c>
      <c r="J35" s="61">
        <f t="shared" si="9"/>
        <v>0</v>
      </c>
      <c r="K35" s="583">
        <f>IF(C35="Yes",SUM(J35:J36),SUM(J35:J36)*0)</f>
        <v>0</v>
      </c>
      <c r="L35" s="138">
        <v>5</v>
      </c>
      <c r="M35" s="594">
        <f>IF(C35="Yes",SUM(L35:L36),SUM(L35:L36)*0)</f>
        <v>0</v>
      </c>
      <c r="N35" s="757" t="str" cm="1">
        <f t="array" ref="N35">IF(C35="Yes",IF(OR(ISBLANK(H35:H36)),"No answer given",IF(SUM(J35:J36)&lt;=(SUM(L35:L36)/3),"Low",IF(SUM(J35:J36)&gt;(SUM(L35:L36)*2/3),"High","Medium"))),IF(C35="No","N/A","No answer given"))</f>
        <v>No answer given</v>
      </c>
      <c r="O35" s="682"/>
      <c r="P35" s="266" t="s">
        <v>378</v>
      </c>
      <c r="Q35" s="308"/>
      <c r="R35" s="266" t="s">
        <v>379</v>
      </c>
      <c r="S35" s="261"/>
      <c r="T35" s="765" t="s">
        <v>658</v>
      </c>
      <c r="U35" s="51"/>
      <c r="V35" s="51"/>
    </row>
    <row r="36" spans="1:22" ht="249.6" customHeight="1" x14ac:dyDescent="0.2">
      <c r="A36" s="650"/>
      <c r="B36" s="652"/>
      <c r="C36" s="656"/>
      <c r="D36" s="298">
        <v>26</v>
      </c>
      <c r="E36" s="275" t="s">
        <v>433</v>
      </c>
      <c r="F36" s="266" t="s">
        <v>547</v>
      </c>
      <c r="G36" s="266" t="s">
        <v>295</v>
      </c>
      <c r="H36" s="300"/>
      <c r="I36" s="58">
        <f>IF(ISBLANK(H36),0,IF(H36=G36,0,2))</f>
        <v>0</v>
      </c>
      <c r="J36" s="61">
        <f t="shared" si="9"/>
        <v>0</v>
      </c>
      <c r="K36" s="584"/>
      <c r="L36" s="138">
        <v>3</v>
      </c>
      <c r="M36" s="595"/>
      <c r="N36" s="758"/>
      <c r="O36" s="682"/>
      <c r="P36" s="266" t="s">
        <v>382</v>
      </c>
      <c r="Q36" s="308"/>
      <c r="R36" s="266" t="s">
        <v>670</v>
      </c>
      <c r="S36" s="273" t="s">
        <v>545</v>
      </c>
      <c r="T36" s="766"/>
      <c r="U36" s="51"/>
      <c r="V36" s="51"/>
    </row>
    <row r="37" spans="1:22" ht="19.5" hidden="1" customHeight="1" x14ac:dyDescent="0.2">
      <c r="A37" s="139"/>
      <c r="B37" s="139"/>
      <c r="C37" s="169" t="e">
        <f>VLOOKUP(B37,Overview!$D$54:$J$70,7,0)</f>
        <v>#N/A</v>
      </c>
      <c r="D37" s="150"/>
      <c r="E37" s="132"/>
      <c r="F37" s="140"/>
      <c r="G37" s="140"/>
      <c r="H37" s="48"/>
      <c r="I37" s="58"/>
      <c r="J37" s="61"/>
      <c r="K37" s="61"/>
      <c r="L37" s="138"/>
      <c r="M37" s="138">
        <f>SUM(M5:M36)</f>
        <v>2</v>
      </c>
      <c r="N37" s="138"/>
      <c r="O37" s="130"/>
      <c r="P37" s="38"/>
      <c r="Q37" s="38"/>
      <c r="R37" s="140"/>
      <c r="S37" s="140"/>
      <c r="T37" s="51"/>
      <c r="U37" s="51"/>
      <c r="V37" s="51"/>
    </row>
    <row r="38" spans="1:22" ht="54.6" customHeight="1" x14ac:dyDescent="0.2">
      <c r="A38" s="1"/>
      <c r="B38" s="1"/>
      <c r="C38" s="1"/>
      <c r="D38" s="150"/>
      <c r="E38" s="636" t="s">
        <v>411</v>
      </c>
      <c r="F38" s="636"/>
      <c r="G38" s="636"/>
      <c r="H38" s="636"/>
      <c r="I38" s="636"/>
      <c r="J38" s="636"/>
      <c r="K38" s="636"/>
      <c r="L38" s="636"/>
      <c r="M38" s="636"/>
      <c r="N38" s="636"/>
      <c r="O38" s="637"/>
      <c r="P38" s="28"/>
      <c r="Q38" s="28"/>
      <c r="R38" s="1"/>
      <c r="S38" s="1"/>
      <c r="T38" s="1"/>
      <c r="U38" s="1"/>
      <c r="V38" s="1"/>
    </row>
    <row r="39" spans="1:22" ht="12.75" customHeight="1" x14ac:dyDescent="0.2">
      <c r="A39" s="1"/>
      <c r="B39" s="1"/>
      <c r="C39" s="1"/>
      <c r="D39" s="150"/>
      <c r="E39" s="150"/>
      <c r="F39" s="150"/>
      <c r="G39" s="150"/>
      <c r="H39" s="150"/>
      <c r="I39" s="150"/>
      <c r="J39" s="150"/>
      <c r="K39" s="150"/>
      <c r="L39" s="150"/>
      <c r="M39" s="150"/>
      <c r="N39" s="150"/>
      <c r="O39" s="150"/>
      <c r="P39" s="150"/>
      <c r="Q39" s="150"/>
      <c r="R39" s="150"/>
      <c r="S39" s="150"/>
      <c r="T39" s="1"/>
      <c r="U39" s="1"/>
      <c r="V39" s="1"/>
    </row>
    <row r="40" spans="1:22" ht="12.75" customHeight="1" x14ac:dyDescent="0.2">
      <c r="A40" s="1"/>
      <c r="B40" s="1"/>
      <c r="C40" s="1"/>
      <c r="D40" s="150"/>
      <c r="E40" s="145"/>
      <c r="F40" s="145"/>
      <c r="G40" s="145"/>
      <c r="H40" s="145"/>
      <c r="I40" s="145"/>
      <c r="J40" s="145"/>
      <c r="K40" s="145"/>
      <c r="L40" s="145"/>
      <c r="M40" s="145"/>
      <c r="N40" s="145"/>
      <c r="O40" s="145"/>
      <c r="P40" s="150"/>
      <c r="Q40" s="150"/>
      <c r="R40" s="150"/>
      <c r="S40" s="150"/>
      <c r="T40" s="1"/>
      <c r="U40" s="1"/>
      <c r="V40" s="1"/>
    </row>
    <row r="41" spans="1:22" ht="12.75" customHeight="1" x14ac:dyDescent="0.2">
      <c r="A41" s="1"/>
      <c r="B41" s="1"/>
      <c r="C41" s="1"/>
      <c r="D41" s="150"/>
      <c r="E41" s="145"/>
      <c r="F41" s="145"/>
      <c r="G41" s="145"/>
      <c r="H41" s="83"/>
      <c r="I41" s="145"/>
      <c r="J41" s="145"/>
      <c r="K41" s="145"/>
      <c r="L41" s="145"/>
      <c r="M41" s="145"/>
      <c r="N41" s="145"/>
      <c r="O41" s="145"/>
      <c r="P41" s="150"/>
      <c r="Q41" s="150"/>
      <c r="R41" s="150"/>
      <c r="S41" s="150"/>
      <c r="T41" s="1"/>
      <c r="U41" s="1"/>
      <c r="V41" s="1"/>
    </row>
    <row r="42" spans="1:22" ht="12.75" customHeight="1" x14ac:dyDescent="0.2">
      <c r="A42" s="1"/>
      <c r="B42" s="1"/>
      <c r="C42" s="1"/>
      <c r="D42" s="150"/>
      <c r="E42" s="145"/>
      <c r="F42" s="145"/>
      <c r="G42" s="145"/>
      <c r="H42" s="84">
        <f>SUM(J5:J36)</f>
        <v>0</v>
      </c>
      <c r="I42" s="145"/>
      <c r="J42" s="145"/>
      <c r="K42" s="145"/>
      <c r="L42" s="145"/>
      <c r="M42" s="145"/>
      <c r="N42" s="145"/>
      <c r="O42" s="145"/>
      <c r="P42" s="150"/>
      <c r="Q42" s="150"/>
      <c r="R42" s="150"/>
      <c r="S42" s="150"/>
      <c r="T42" s="1"/>
      <c r="U42" s="1"/>
      <c r="V42" s="1"/>
    </row>
    <row r="43" spans="1:22" x14ac:dyDescent="0.2">
      <c r="A43" s="1"/>
      <c r="B43" s="1"/>
      <c r="C43" s="1"/>
      <c r="D43" s="150"/>
      <c r="E43" s="145"/>
      <c r="F43" s="145"/>
      <c r="G43" s="145"/>
      <c r="H43" s="82"/>
      <c r="I43" s="145"/>
      <c r="J43" s="145"/>
      <c r="K43" s="145"/>
      <c r="L43" s="145"/>
      <c r="M43" s="145"/>
      <c r="N43" s="145"/>
      <c r="O43" s="145"/>
      <c r="P43" s="145"/>
      <c r="Q43" s="145"/>
      <c r="R43" s="1"/>
      <c r="S43" s="1"/>
      <c r="T43" s="1"/>
      <c r="U43" s="1"/>
      <c r="V43" s="1"/>
    </row>
    <row r="44" spans="1:22" ht="30" customHeight="1" x14ac:dyDescent="0.2">
      <c r="A44" s="1"/>
      <c r="B44" s="1"/>
      <c r="C44" s="1"/>
      <c r="D44" s="150"/>
      <c r="E44" s="145"/>
      <c r="F44" s="145"/>
      <c r="G44" s="145"/>
      <c r="H44" s="145"/>
      <c r="I44" s="145"/>
      <c r="J44" s="145"/>
      <c r="K44" s="145"/>
      <c r="L44" s="145"/>
      <c r="M44" s="145"/>
      <c r="N44" s="145"/>
      <c r="O44" s="145"/>
      <c r="P44" s="145"/>
      <c r="Q44" s="145"/>
      <c r="R44" s="1"/>
      <c r="S44" s="1"/>
      <c r="T44" s="1"/>
      <c r="U44" s="1"/>
      <c r="V44" s="1"/>
    </row>
    <row r="45" spans="1:22" x14ac:dyDescent="0.2">
      <c r="A45" s="1"/>
      <c r="B45" s="1"/>
      <c r="C45" s="1"/>
      <c r="D45" s="150"/>
      <c r="E45" s="145"/>
      <c r="F45" s="145"/>
      <c r="G45" s="145"/>
      <c r="H45" s="145"/>
      <c r="I45" s="145"/>
      <c r="J45" s="145"/>
      <c r="K45" s="145"/>
      <c r="L45" s="145"/>
      <c r="M45" s="145"/>
      <c r="N45" s="145"/>
      <c r="O45" s="145"/>
      <c r="P45" s="145"/>
      <c r="Q45" s="145"/>
      <c r="R45" s="1"/>
      <c r="S45" s="1"/>
      <c r="T45" s="1"/>
      <c r="U45" s="1"/>
      <c r="V45" s="1"/>
    </row>
    <row r="46" spans="1:22" x14ac:dyDescent="0.2">
      <c r="A46" s="1"/>
      <c r="B46" s="1"/>
      <c r="C46" s="1"/>
      <c r="D46" s="150"/>
      <c r="E46" s="145"/>
      <c r="F46" s="145"/>
      <c r="G46" s="145"/>
      <c r="H46" s="145"/>
      <c r="I46" s="145"/>
      <c r="J46" s="145"/>
      <c r="K46" s="145"/>
      <c r="L46" s="145"/>
      <c r="M46" s="145"/>
      <c r="N46" s="145"/>
      <c r="O46" s="145"/>
      <c r="P46" s="145"/>
      <c r="Q46" s="145"/>
      <c r="R46" s="1"/>
      <c r="S46" s="1"/>
      <c r="T46" s="1"/>
      <c r="U46" s="1"/>
      <c r="V46" s="1"/>
    </row>
    <row r="47" spans="1:22" x14ac:dyDescent="0.2">
      <c r="A47" s="1"/>
      <c r="B47" s="1"/>
      <c r="C47" s="1"/>
      <c r="D47" s="150"/>
      <c r="E47" s="145"/>
      <c r="F47" s="145"/>
      <c r="G47" s="145"/>
      <c r="H47" s="145"/>
      <c r="I47" s="145"/>
      <c r="J47" s="145"/>
      <c r="K47" s="145"/>
      <c r="L47" s="145"/>
      <c r="M47" s="145"/>
      <c r="N47" s="145"/>
      <c r="O47" s="145"/>
      <c r="P47" s="145"/>
      <c r="Q47" s="145"/>
      <c r="R47" s="1"/>
      <c r="S47" s="1"/>
      <c r="T47" s="1"/>
      <c r="U47" s="1"/>
      <c r="V47" s="1"/>
    </row>
    <row r="48" spans="1:22" x14ac:dyDescent="0.2">
      <c r="A48" s="1"/>
      <c r="B48" s="1"/>
      <c r="C48" s="1"/>
      <c r="D48" s="150"/>
      <c r="E48" s="145"/>
      <c r="F48" s="145"/>
      <c r="G48" s="145"/>
      <c r="H48" s="145"/>
      <c r="I48" s="145"/>
      <c r="J48" s="145"/>
      <c r="K48" s="145"/>
      <c r="L48" s="145"/>
      <c r="M48" s="145"/>
      <c r="N48" s="145"/>
      <c r="O48" s="145"/>
      <c r="P48" s="145"/>
      <c r="Q48" s="145"/>
      <c r="R48" s="1"/>
      <c r="S48" s="1"/>
      <c r="T48" s="1"/>
      <c r="U48" s="1"/>
      <c r="V48" s="1"/>
    </row>
  </sheetData>
  <sheetProtection algorithmName="SHA-512" hashValue="tintGDfpJZNETvda05eVIj3C3pWkSPMh8Hv3S08Bpi9l8sEh6CcGSZqkSOOGz2rjHV/xu0Kt6NLsBrl6F7DM0w==" saltValue="kDRc1f3Vq3E/PxIcQTpp0w==" spinCount="100000" sheet="1" objects="1" scenarios="1"/>
  <protectedRanges>
    <protectedRange sqref="S5:S36" name="Link"/>
    <protectedRange sqref="Q5:Q36" name="User Note"/>
    <protectedRange sqref="H5:H36" name="Input Answer"/>
  </protectedRanges>
  <mergeCells count="72">
    <mergeCell ref="A1:T2"/>
    <mergeCell ref="A5:A10"/>
    <mergeCell ref="B5:B7"/>
    <mergeCell ref="D5:D7"/>
    <mergeCell ref="F5:F7"/>
    <mergeCell ref="O5:O10"/>
    <mergeCell ref="P5:P7"/>
    <mergeCell ref="R5:R7"/>
    <mergeCell ref="B3:D3"/>
    <mergeCell ref="E4:F4"/>
    <mergeCell ref="T5:T7"/>
    <mergeCell ref="K5:K7"/>
    <mergeCell ref="N3:R3"/>
    <mergeCell ref="M5:M7"/>
    <mergeCell ref="M8:M9"/>
    <mergeCell ref="C5:C7"/>
    <mergeCell ref="B13:B14"/>
    <mergeCell ref="K24:K27"/>
    <mergeCell ref="M24:M27"/>
    <mergeCell ref="B8:B9"/>
    <mergeCell ref="N8:N9"/>
    <mergeCell ref="K8:K9"/>
    <mergeCell ref="N24:N27"/>
    <mergeCell ref="C8:C9"/>
    <mergeCell ref="C24:C27"/>
    <mergeCell ref="A16:A18"/>
    <mergeCell ref="O16:O18"/>
    <mergeCell ref="T19:T20"/>
    <mergeCell ref="A11:A15"/>
    <mergeCell ref="O11:O15"/>
    <mergeCell ref="K13:K14"/>
    <mergeCell ref="K19:K20"/>
    <mergeCell ref="M13:M14"/>
    <mergeCell ref="M19:M20"/>
    <mergeCell ref="N13:N14"/>
    <mergeCell ref="C13:C14"/>
    <mergeCell ref="C19:C20"/>
    <mergeCell ref="O19:O27"/>
    <mergeCell ref="A19:A27"/>
    <mergeCell ref="B19:B20"/>
    <mergeCell ref="B24:B27"/>
    <mergeCell ref="E38:O38"/>
    <mergeCell ref="B35:B36"/>
    <mergeCell ref="A28:A36"/>
    <mergeCell ref="B28:B34"/>
    <mergeCell ref="O28:O36"/>
    <mergeCell ref="D29:D31"/>
    <mergeCell ref="F29:F31"/>
    <mergeCell ref="K28:K34"/>
    <mergeCell ref="K35:K36"/>
    <mergeCell ref="M28:M34"/>
    <mergeCell ref="M35:M36"/>
    <mergeCell ref="D32:D34"/>
    <mergeCell ref="C28:C34"/>
    <mergeCell ref="C35:C36"/>
    <mergeCell ref="N35:N36"/>
    <mergeCell ref="F32:F34"/>
    <mergeCell ref="N28:N34"/>
    <mergeCell ref="N19:N20"/>
    <mergeCell ref="T13:T14"/>
    <mergeCell ref="N5:N7"/>
    <mergeCell ref="T35:T36"/>
    <mergeCell ref="R24:R27"/>
    <mergeCell ref="T24:T27"/>
    <mergeCell ref="P29:P31"/>
    <mergeCell ref="T28:T34"/>
    <mergeCell ref="P32:P34"/>
    <mergeCell ref="T8:T9"/>
    <mergeCell ref="R29:R34"/>
    <mergeCell ref="S24:S27"/>
    <mergeCell ref="S5:S7"/>
    <mergeCell ref="S29:S34"/>
  </mergeCells>
  <conditionalFormatting sqref="C5:C36">
    <cfRule type="containsText" dxfId="35" priority="3" operator="containsText" text="No">
      <formula>NOT(ISERROR(SEARCH("No",C5)))</formula>
    </cfRule>
  </conditionalFormatting>
  <conditionalFormatting sqref="O5:O36">
    <cfRule type="containsText" dxfId="31" priority="18" operator="containsText" text="High Risk">
      <formula>NOT(ISERROR(SEARCH("High Risk",O5)))</formula>
    </cfRule>
    <cfRule type="containsText" dxfId="30" priority="19" operator="containsText" text="Medium Risk">
      <formula>NOT(ISERROR(SEARCH("Medium Risk",O5)))</formula>
    </cfRule>
    <cfRule type="containsText" dxfId="29" priority="20" operator="containsText" text="Low Risk">
      <formula>NOT(ISERROR(SEARCH("Low Risk",O5)))</formula>
    </cfRule>
  </conditionalFormatting>
  <conditionalFormatting sqref="T5:T36">
    <cfRule type="expression" dxfId="28" priority="1">
      <formula>OR(N5="Low",N5="N/A",N5="No answer given")</formula>
    </cfRule>
  </conditionalFormatting>
  <dataValidations count="6">
    <dataValidation type="list" allowBlank="1" showInputMessage="1" showErrorMessage="1" sqref="H9 H36" xr:uid="{37943C2D-CB1B-4B83-946A-98DFA985A7ED}">
      <formula1>$U$5:$U$7</formula1>
    </dataValidation>
    <dataValidation type="list" allowBlank="1" showInputMessage="1" showErrorMessage="1" sqref="H23:H26 H16 H5:H7 H19:H21 H37 H14 H29:H34" xr:uid="{B0537175-CF70-4DD6-9BF4-ABA0C8ADBDD9}">
      <formula1>$U$10:$U$12</formula1>
    </dataValidation>
    <dataValidation type="list" allowBlank="1" showInputMessage="1" showErrorMessage="1" sqref="H8 H10:H11 H27" xr:uid="{F0C04F3B-700E-464A-9770-43CBDA0831E0}">
      <formula1>$U$5:$U$8</formula1>
    </dataValidation>
    <dataValidation type="list" allowBlank="1" showInputMessage="1" showErrorMessage="1" sqref="H22" xr:uid="{8C365D55-E8E1-4B55-950C-DE2462088A4A}">
      <formula1>$V$10:$V$13</formula1>
    </dataValidation>
    <dataValidation type="list" allowBlank="1" showInputMessage="1" showErrorMessage="1" sqref="H35 H12:H13 H15 H17:H18" xr:uid="{0DC6683B-D412-45B2-89DC-D3A03D3D8A1C}">
      <formula1>$U$5:$U$9</formula1>
    </dataValidation>
    <dataValidation type="list" allowBlank="1" showInputMessage="1" showErrorMessage="1" sqref="H28" xr:uid="{E654C73B-3D8D-4175-ADB2-91DF87189F35}">
      <formula1>"A,B,C,D,E,F"</formula1>
    </dataValidation>
  </dataValidations>
  <hyperlinks>
    <hyperlink ref="S9" r:id="rId1" xr:uid="{0A129C96-1684-4401-896C-6F5451FD76D7}"/>
    <hyperlink ref="S10" r:id="rId2" xr:uid="{47E924D5-D87C-4611-9606-A3EEBA0D8C40}"/>
    <hyperlink ref="S11" r:id="rId3" display="https://www.protectedplanet.net/en/thematic-areas/wdpa?tab=WDPA" xr:uid="{842715EF-B658-49C3-A056-505043FD0069}"/>
    <hyperlink ref="S12" r:id="rId4" xr:uid="{DCC59E28-1270-4D15-B8C8-E3F5F155AC15}"/>
    <hyperlink ref="S13" r:id="rId5" xr:uid="{7C32E84E-854F-48F8-B72A-FB2C0E01C900}"/>
    <hyperlink ref="S20" r:id="rId6" xr:uid="{0B596997-A433-4F03-8AFB-25D9B2DB262C}"/>
    <hyperlink ref="S24" r:id="rId7" display="https://ourworldindata.org/child-labor" xr:uid="{A2AE3C82-6F8D-40DF-BDA0-014AC7AF5835}"/>
    <hyperlink ref="S28" r:id="rId8" xr:uid="{2B9E8CD9-F87D-47EA-BFBA-98CA1CDCDCCE}"/>
    <hyperlink ref="S36" r:id="rId9" location="/ranks" xr:uid="{5B10B5B8-2B9D-4195-B1F8-B6993CC84C7F}"/>
  </hyperlinks>
  <pageMargins left="0.7" right="0.7" top="0.75" bottom="0.75" header="0.3" footer="0.3"/>
  <pageSetup paperSize="9" orientation="portrait" r:id="rId10"/>
  <drawing r:id="rId11"/>
  <extLst>
    <ext xmlns:x14="http://schemas.microsoft.com/office/spreadsheetml/2009/9/main" uri="{78C0D931-6437-407d-A8EE-F0AAD7539E65}">
      <x14:conditionalFormattings>
        <x14:conditionalFormatting xmlns:xm="http://schemas.microsoft.com/office/excel/2006/main">
          <x14:cfRule type="containsText" priority="4" operator="containsText" id="{5AE6329C-203A-4AF3-B54D-D1B92554B133}">
            <xm:f>NOT(ISERROR(SEARCH("Low",N5)))</xm:f>
            <xm:f>"Low"</xm:f>
            <x14:dxf>
              <font>
                <b/>
                <i val="0"/>
                <color theme="1"/>
              </font>
              <fill>
                <patternFill>
                  <bgColor theme="9" tint="0.79998168889431442"/>
                </patternFill>
              </fill>
            </x14:dxf>
          </x14:cfRule>
          <x14:cfRule type="containsText" priority="5" operator="containsText" id="{9316442F-14C0-4FA4-93F8-F02B13734ACF}">
            <xm:f>NOT(ISERROR(SEARCH("High",N5)))</xm:f>
            <xm:f>"High"</xm:f>
            <x14:dxf>
              <font>
                <b/>
                <i val="0"/>
                <color theme="0"/>
              </font>
              <fill>
                <patternFill>
                  <bgColor rgb="FFFF0000"/>
                </patternFill>
              </fill>
            </x14:dxf>
          </x14:cfRule>
          <x14:cfRule type="containsText" priority="6" operator="containsText" id="{DB26DF62-56A1-4F9E-9AAD-3DD5C98FF044}">
            <xm:f>NOT(ISERROR(SEARCH("Medium",N5)))</xm:f>
            <xm:f>"Medium"</xm:f>
            <x14:dxf>
              <font>
                <b/>
                <i val="0"/>
                <color theme="1"/>
              </font>
              <fill>
                <patternFill>
                  <bgColor theme="7" tint="0.79998168889431442"/>
                </patternFill>
              </fill>
            </x14:dxf>
          </x14:cfRule>
          <xm:sqref>N5:N36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65F44-66B6-4307-A06B-DE389AC07430}">
  <sheetPr>
    <tabColor theme="9" tint="-0.249977111117893"/>
  </sheetPr>
  <dimension ref="A1:V48"/>
  <sheetViews>
    <sheetView showGridLines="0" zoomScale="40" zoomScaleNormal="40" workbookViewId="0">
      <pane xSplit="4" ySplit="2" topLeftCell="E26" activePane="bottomRight" state="frozen"/>
      <selection pane="topRight" activeCell="D1" sqref="D1"/>
      <selection pane="bottomLeft" activeCell="A3" sqref="A3"/>
      <selection pane="bottomRight" activeCell="H35" sqref="H35:H36"/>
    </sheetView>
  </sheetViews>
  <sheetFormatPr defaultColWidth="8.7109375" defaultRowHeight="12.75" x14ac:dyDescent="0.2"/>
  <cols>
    <col min="1" max="1" width="17.42578125" style="185" customWidth="1"/>
    <col min="2" max="2" width="29.42578125" style="185" customWidth="1"/>
    <col min="3" max="3" width="24" style="185" customWidth="1"/>
    <col min="4" max="4" width="9.85546875" style="186" customWidth="1"/>
    <col min="5" max="5" width="49.28515625" style="185" customWidth="1"/>
    <col min="6" max="6" width="70.5703125" style="185" customWidth="1"/>
    <col min="7" max="7" width="11.42578125" style="185" hidden="1" customWidth="1"/>
    <col min="8" max="8" width="22" style="185" customWidth="1"/>
    <col min="9" max="9" width="13.7109375" style="185" hidden="1" customWidth="1"/>
    <col min="10" max="11" width="16.28515625" style="185" hidden="1" customWidth="1"/>
    <col min="12" max="13" width="11.85546875" style="185" hidden="1" customWidth="1"/>
    <col min="14" max="14" width="17.85546875" style="185" customWidth="1"/>
    <col min="15" max="15" width="19" style="187" customWidth="1"/>
    <col min="16" max="16" width="53.42578125" style="187" hidden="1" customWidth="1"/>
    <col min="17" max="17" width="53.42578125" style="187" customWidth="1"/>
    <col min="18" max="18" width="92.42578125" style="185" customWidth="1"/>
    <col min="19" max="19" width="38.140625" style="185" customWidth="1"/>
    <col min="20" max="20" width="74.5703125" style="185" customWidth="1"/>
    <col min="21" max="22" width="6.85546875" style="185" hidden="1" customWidth="1"/>
    <col min="23" max="16384" width="8.7109375" style="185"/>
  </cols>
  <sheetData>
    <row r="1" spans="1:22" ht="30.95" customHeight="1" x14ac:dyDescent="0.2">
      <c r="A1" s="540" t="s">
        <v>435</v>
      </c>
      <c r="B1" s="540"/>
      <c r="C1" s="540"/>
      <c r="D1" s="540"/>
      <c r="E1" s="540"/>
      <c r="F1" s="540"/>
      <c r="G1" s="540"/>
      <c r="H1" s="540"/>
      <c r="I1" s="540"/>
      <c r="J1" s="540"/>
      <c r="K1" s="540"/>
      <c r="L1" s="540"/>
      <c r="M1" s="540"/>
      <c r="N1" s="540"/>
      <c r="O1" s="540"/>
      <c r="P1" s="540"/>
      <c r="Q1" s="540"/>
      <c r="R1" s="540"/>
      <c r="S1" s="540"/>
      <c r="T1" s="540"/>
      <c r="U1" s="1"/>
      <c r="V1" s="1"/>
    </row>
    <row r="2" spans="1:22" ht="45.6" customHeight="1" x14ac:dyDescent="0.2">
      <c r="A2" s="540"/>
      <c r="B2" s="540"/>
      <c r="C2" s="540"/>
      <c r="D2" s="540"/>
      <c r="E2" s="540"/>
      <c r="F2" s="540"/>
      <c r="G2" s="540"/>
      <c r="H2" s="540"/>
      <c r="I2" s="540"/>
      <c r="J2" s="540"/>
      <c r="K2" s="540"/>
      <c r="L2" s="540"/>
      <c r="M2" s="540"/>
      <c r="N2" s="540"/>
      <c r="O2" s="540"/>
      <c r="P2" s="540"/>
      <c r="Q2" s="540"/>
      <c r="R2" s="540"/>
      <c r="S2" s="540"/>
      <c r="T2" s="540"/>
      <c r="U2" s="1"/>
      <c r="V2" s="1"/>
    </row>
    <row r="3" spans="1:22" ht="76.5" customHeight="1" x14ac:dyDescent="0.2">
      <c r="A3" s="1"/>
      <c r="B3" s="667" t="s">
        <v>245</v>
      </c>
      <c r="C3" s="667"/>
      <c r="D3" s="667"/>
      <c r="E3" s="194">
        <f>Overview!E16</f>
        <v>0</v>
      </c>
      <c r="F3" s="194">
        <f>Overview!E17</f>
        <v>0</v>
      </c>
      <c r="G3" s="1"/>
      <c r="H3" s="191" t="s">
        <v>388</v>
      </c>
      <c r="I3" s="1"/>
      <c r="J3" s="1"/>
      <c r="K3" s="1"/>
      <c r="L3" s="1"/>
      <c r="M3" s="1"/>
      <c r="N3" s="694" t="s">
        <v>389</v>
      </c>
      <c r="O3" s="695"/>
      <c r="P3" s="695"/>
      <c r="Q3" s="695"/>
      <c r="R3" s="696"/>
      <c r="S3" s="1"/>
      <c r="T3" s="1"/>
      <c r="U3" s="1"/>
      <c r="V3" s="1"/>
    </row>
    <row r="4" spans="1:22" ht="65.45" customHeight="1" x14ac:dyDescent="0.2">
      <c r="A4" s="91" t="s">
        <v>277</v>
      </c>
      <c r="B4" s="91" t="s">
        <v>278</v>
      </c>
      <c r="C4" s="97" t="s">
        <v>390</v>
      </c>
      <c r="D4" s="91" t="s">
        <v>13</v>
      </c>
      <c r="E4" s="542" t="s">
        <v>14</v>
      </c>
      <c r="F4" s="543"/>
      <c r="G4" s="91" t="s">
        <v>279</v>
      </c>
      <c r="H4" s="91" t="s">
        <v>15</v>
      </c>
      <c r="I4" s="91" t="s">
        <v>280</v>
      </c>
      <c r="J4" s="91" t="s">
        <v>281</v>
      </c>
      <c r="K4" s="91" t="s">
        <v>392</v>
      </c>
      <c r="L4" s="91" t="s">
        <v>412</v>
      </c>
      <c r="M4" s="91" t="s">
        <v>394</v>
      </c>
      <c r="N4" s="91" t="s">
        <v>395</v>
      </c>
      <c r="O4" s="91" t="s">
        <v>396</v>
      </c>
      <c r="P4" s="91" t="s">
        <v>397</v>
      </c>
      <c r="Q4" s="97" t="s">
        <v>284</v>
      </c>
      <c r="R4" s="91" t="s">
        <v>54</v>
      </c>
      <c r="S4" s="188" t="s">
        <v>537</v>
      </c>
      <c r="T4" s="91" t="s">
        <v>285</v>
      </c>
      <c r="U4" s="1"/>
      <c r="V4" s="1"/>
    </row>
    <row r="5" spans="1:22" ht="93.75" customHeight="1" x14ac:dyDescent="0.2">
      <c r="A5" s="794" t="s">
        <v>286</v>
      </c>
      <c r="B5" s="797" t="str">
        <f>Matrix!C4</f>
        <v>Greenhouse gas (GHG) emissions from biomass production, transportation and storage (upstream)</v>
      </c>
      <c r="C5" s="654" t="str">
        <f>IF($E$3=0,"No answer given",IF((VLOOKUP(B5,Matrix!$C$4:$M$20,MATCH($E$3,Matrix!$I$3:$M$3,0)+6,0))="x","Yes","No"))</f>
        <v>No answer given</v>
      </c>
      <c r="D5" s="798">
        <v>1</v>
      </c>
      <c r="E5" s="342" t="s">
        <v>427</v>
      </c>
      <c r="F5" s="662" t="s">
        <v>503</v>
      </c>
      <c r="G5" s="343" t="s">
        <v>289</v>
      </c>
      <c r="H5" s="344"/>
      <c r="I5" s="90">
        <f>IF(ISBLANK(H5),0,IF(H5=G5,0,1))</f>
        <v>0</v>
      </c>
      <c r="J5" s="77">
        <f>I5</f>
        <v>0</v>
      </c>
      <c r="K5" s="583">
        <f>IF(C5="Yes",SUM(J5:J7),SUM(J5:J7)*0)</f>
        <v>0</v>
      </c>
      <c r="L5" s="133">
        <v>1</v>
      </c>
      <c r="M5" s="672">
        <f>IF(C5="Yes",SUM(L5:L7),SUM(L5:L7)*0)</f>
        <v>0</v>
      </c>
      <c r="N5" s="673" t="str" cm="1">
        <f t="array" ref="N5">IF(C5="Yes",IF(OR(ISBLANK(H5:H7)),"No answer given",IF(SUM(K5)&lt;=(SUM(L5:L7)/3),"Low",IF(SUM(K5)&gt;(SUM(L5:L7)*2/3),"High","Medium"))),IF(C5="No","N/A","No answer given"))</f>
        <v>No answer given</v>
      </c>
      <c r="O5" s="682" t="str">
        <f>IF(COUNTIF(N5:N10,"No answer given")&gt;0,"No answer given",IF(N10&lt;&gt;"High",IF(SUM(K5:K10)&lt;=(SUM(M5:M10)/3),"Low Risk",IF(SUM(K5:K10)&gt;(SUM(M5:M10)*2/3),"High Risk","Medium Risk")),"High Risk"))</f>
        <v>No answer given</v>
      </c>
      <c r="P5" s="769" t="s">
        <v>291</v>
      </c>
      <c r="Q5" s="309"/>
      <c r="R5" s="800" t="s">
        <v>292</v>
      </c>
      <c r="S5" s="778"/>
      <c r="T5" s="801" t="s">
        <v>600</v>
      </c>
      <c r="U5" s="51" t="s">
        <v>294</v>
      </c>
      <c r="V5" s="51">
        <v>3</v>
      </c>
    </row>
    <row r="6" spans="1:22" ht="46.5" customHeight="1" x14ac:dyDescent="0.2">
      <c r="A6" s="795"/>
      <c r="B6" s="797"/>
      <c r="C6" s="655"/>
      <c r="D6" s="798"/>
      <c r="E6" s="345" t="s">
        <v>574</v>
      </c>
      <c r="F6" s="662"/>
      <c r="G6" s="343" t="s">
        <v>289</v>
      </c>
      <c r="H6" s="344"/>
      <c r="I6" s="90">
        <f>IF(ISBLANK(H6),0,IF(H6=G6,0,1))</f>
        <v>0</v>
      </c>
      <c r="J6" s="61">
        <f t="shared" ref="J6:J10" si="0">I6</f>
        <v>0</v>
      </c>
      <c r="K6" s="584"/>
      <c r="L6" s="134">
        <v>1</v>
      </c>
      <c r="M6" s="556"/>
      <c r="N6" s="764"/>
      <c r="O6" s="682"/>
      <c r="P6" s="769"/>
      <c r="Q6" s="309"/>
      <c r="R6" s="800"/>
      <c r="S6" s="779"/>
      <c r="T6" s="802"/>
      <c r="U6" s="51" t="s">
        <v>295</v>
      </c>
      <c r="V6" s="51">
        <v>2</v>
      </c>
    </row>
    <row r="7" spans="1:22" ht="72" customHeight="1" x14ac:dyDescent="0.2">
      <c r="A7" s="795"/>
      <c r="B7" s="671"/>
      <c r="C7" s="656"/>
      <c r="D7" s="799"/>
      <c r="E7" s="345" t="s">
        <v>428</v>
      </c>
      <c r="F7" s="663"/>
      <c r="G7" s="346" t="s">
        <v>289</v>
      </c>
      <c r="H7" s="344"/>
      <c r="I7" s="90">
        <f>IF(ISBLANK(H7),0,IF(H7=G7,0,1))</f>
        <v>0</v>
      </c>
      <c r="J7" s="61">
        <f t="shared" si="0"/>
        <v>0</v>
      </c>
      <c r="K7" s="585"/>
      <c r="L7" s="134">
        <v>1</v>
      </c>
      <c r="M7" s="557"/>
      <c r="N7" s="674"/>
      <c r="O7" s="682"/>
      <c r="P7" s="770"/>
      <c r="Q7" s="309"/>
      <c r="R7" s="809"/>
      <c r="S7" s="780"/>
      <c r="T7" s="803"/>
      <c r="U7" s="51" t="s">
        <v>296</v>
      </c>
      <c r="V7" s="51">
        <v>1</v>
      </c>
    </row>
    <row r="8" spans="1:22" ht="124.5" customHeight="1" x14ac:dyDescent="0.2">
      <c r="A8" s="795"/>
      <c r="B8" s="670" t="str">
        <f>Matrix!C5</f>
        <v>GHG emissions from biomass utilization (combustion)</v>
      </c>
      <c r="C8" s="654" t="str">
        <f>IF($E$3=0,"No answer given",IF((VLOOKUP(B8,Matrix!$C$4:$M$20,MATCH($E$3,Matrix!$I$3:$M$3,0)+6,0))="x","Yes","No"))</f>
        <v>No answer given</v>
      </c>
      <c r="D8" s="271">
        <v>2</v>
      </c>
      <c r="E8" s="259" t="s">
        <v>297</v>
      </c>
      <c r="F8" s="264" t="s">
        <v>659</v>
      </c>
      <c r="G8" s="264"/>
      <c r="H8" s="265"/>
      <c r="I8" s="58" cm="1">
        <f t="array" ref="I8">IF(ISBLANK(H8),0,_xlfn.SWITCH(H8,"A",2,"D",2,"B",1,"C",0))</f>
        <v>0</v>
      </c>
      <c r="J8" s="61">
        <f t="shared" si="0"/>
        <v>0</v>
      </c>
      <c r="K8" s="583">
        <f>IF(C8="Yes",SUM(J8:J9),SUM(J8:J9)*0)</f>
        <v>0</v>
      </c>
      <c r="L8" s="134">
        <v>2</v>
      </c>
      <c r="M8" s="672">
        <f>IF(C8="Yes",SUM(L8:L9),SUM(L8:L9)*0)</f>
        <v>0</v>
      </c>
      <c r="N8" s="673" t="str" cm="1">
        <f t="array" ref="N8">IF(C8="Yes",IF(OR(ISBLANK(H8:H9)),"No answer given",IF(SUM(J8:J9)&lt;=(SUM(L8:L9)/3),"Low",IF(SUM(J8:J9)&gt;(SUM(L8:L9)*2/3),"High","Medium"))),IF(C8="No","N/A","No answer given"))</f>
        <v>No answer given</v>
      </c>
      <c r="O8" s="682"/>
      <c r="P8" s="266" t="s">
        <v>299</v>
      </c>
      <c r="Q8" s="308"/>
      <c r="R8" s="264" t="s">
        <v>398</v>
      </c>
      <c r="S8" s="261"/>
      <c r="T8" s="801" t="s">
        <v>601</v>
      </c>
      <c r="U8" s="57" t="s">
        <v>302</v>
      </c>
      <c r="V8" s="57">
        <v>0</v>
      </c>
    </row>
    <row r="9" spans="1:22" ht="204.95" customHeight="1" x14ac:dyDescent="0.2">
      <c r="A9" s="795"/>
      <c r="B9" s="671"/>
      <c r="C9" s="656"/>
      <c r="D9" s="271">
        <v>3</v>
      </c>
      <c r="E9" s="259" t="s">
        <v>399</v>
      </c>
      <c r="F9" s="276" t="s">
        <v>436</v>
      </c>
      <c r="G9" s="266"/>
      <c r="H9" s="265"/>
      <c r="I9" s="58" cm="1">
        <f t="array" ref="I9">IF(ISBLANK(H9),0,_xlfn.SWITCH(H9,"A",1,"C",1,"B",0))</f>
        <v>0</v>
      </c>
      <c r="J9" s="61">
        <f t="shared" si="0"/>
        <v>0</v>
      </c>
      <c r="K9" s="585"/>
      <c r="L9" s="134">
        <v>1</v>
      </c>
      <c r="M9" s="557"/>
      <c r="N9" s="674"/>
      <c r="O9" s="682"/>
      <c r="P9" s="266"/>
      <c r="Q9" s="308"/>
      <c r="R9" s="264" t="s">
        <v>671</v>
      </c>
      <c r="S9" s="273" t="s">
        <v>538</v>
      </c>
      <c r="T9" s="803"/>
      <c r="U9" s="57" t="s">
        <v>502</v>
      </c>
      <c r="V9" s="57"/>
    </row>
    <row r="10" spans="1:22" ht="409.5" customHeight="1" x14ac:dyDescent="0.2">
      <c r="A10" s="796"/>
      <c r="B10" s="269" t="str">
        <f>Matrix!C6</f>
        <v>Impact on carbon sinks (such as deforestation)</v>
      </c>
      <c r="C10" s="274" t="str">
        <f>IF($E$3=0,"No answer given",IF((VLOOKUP(B10,Matrix!$C$4:$M$20,MATCH($E$3,Matrix!$I$3:$M$3,0)+6,0))="x","Yes","No"))</f>
        <v>No answer given</v>
      </c>
      <c r="D10" s="298">
        <v>4</v>
      </c>
      <c r="E10" s="275" t="s">
        <v>400</v>
      </c>
      <c r="F10" s="276" t="s">
        <v>476</v>
      </c>
      <c r="G10" s="276"/>
      <c r="H10" s="265"/>
      <c r="I10" s="58" cm="1">
        <f t="array" ref="I10">IF(ISBLANK(H10),0,_xlfn.SWITCH(H10,"A",3,"D",3,"B",2,"C",1))</f>
        <v>0</v>
      </c>
      <c r="J10" s="61">
        <f t="shared" si="0"/>
        <v>0</v>
      </c>
      <c r="K10" s="61">
        <f>IF(C10="Yes",SUM(J10),SUM(J10)*0)</f>
        <v>0</v>
      </c>
      <c r="L10" s="134">
        <v>3</v>
      </c>
      <c r="M10" s="134">
        <f>IF(C10="Yes",SUM(L10),SUM(L10)*0)</f>
        <v>0</v>
      </c>
      <c r="N10" s="201" t="str">
        <f>IF(C10="Yes",IF(OR(ISBLANK(H10)),"No answer given",IF(SUM(J10)&lt;=(SUM(L10)/3),"Low",IF(SUM(J10)&gt;(SUM(L10)*2/3),"High","Medium"))),IF(C10="No","N/A","No answer given"))</f>
        <v>No answer given</v>
      </c>
      <c r="O10" s="682"/>
      <c r="P10" s="277" t="s">
        <v>308</v>
      </c>
      <c r="Q10" s="309"/>
      <c r="R10" s="264" t="s">
        <v>672</v>
      </c>
      <c r="S10" s="273" t="s">
        <v>67</v>
      </c>
      <c r="T10" s="268" t="s">
        <v>602</v>
      </c>
      <c r="U10" s="57" t="s">
        <v>290</v>
      </c>
      <c r="V10" s="57" t="s">
        <v>290</v>
      </c>
    </row>
    <row r="11" spans="1:22" ht="342" customHeight="1" x14ac:dyDescent="0.2">
      <c r="A11" s="781" t="s">
        <v>268</v>
      </c>
      <c r="B11" s="348" t="str">
        <f>Matrix!C7</f>
        <v>Loss of natural habitats causing loss of biodiversity (such as deforestation) from land-use change (LUC) and indirect land-use change (ILUC)</v>
      </c>
      <c r="C11" s="274" t="str">
        <f>IF($E$3=0,"No answer given",IF((VLOOKUP(B11,Matrix!$C$4:$M$20,MATCH($E$3,Matrix!$I$3:$M$3,0)+6,0))="x","Yes","No"))</f>
        <v>No answer given</v>
      </c>
      <c r="D11" s="298">
        <v>5</v>
      </c>
      <c r="E11" s="275" t="s">
        <v>401</v>
      </c>
      <c r="F11" s="282" t="s">
        <v>477</v>
      </c>
      <c r="G11" s="282"/>
      <c r="H11" s="265"/>
      <c r="I11" s="58" cm="1">
        <f t="array" ref="I11">IF(ISBLANK(H11),0,_xlfn.SWITCH(H11,"A",3,"D",3,"B",2,"C",1))</f>
        <v>0</v>
      </c>
      <c r="J11" s="99">
        <f>I11</f>
        <v>0</v>
      </c>
      <c r="K11" s="99">
        <f>IF(C11="Yes",SUM(J11),SUM(J11)*0)</f>
        <v>0</v>
      </c>
      <c r="L11" s="135">
        <v>3</v>
      </c>
      <c r="M11" s="134">
        <f>IF(C11="Yes",SUM(L11),SUM(L11)*0)</f>
        <v>0</v>
      </c>
      <c r="N11" s="201" t="str">
        <f t="shared" ref="N11:N12" si="1">IF(C11="Yes",IF(OR(ISBLANK(H11)),"No answer given",IF(SUM(J11)&lt;=(SUM(L11)/3),"Low",IF(SUM(J11)&gt;(SUM(L11)*2/3),"High","Medium"))),IF(C11="No","N/A","No answer given"))</f>
        <v>No answer given</v>
      </c>
      <c r="O11" s="681" t="str">
        <f>IF(COUNTIF(N11:N15,"No answer given")&gt;0,"No answer given",IF(N11&lt;&gt;"High",(IF(SUM(K11:K15)&lt;=(SUM(M11:M15)/3),"Low Risk",IF(SUM(K11:K15)&gt;(SUM(M11:M15)*2/3),"High Risk","Medium Risk"))),"High Risk"))</f>
        <v>No answer given</v>
      </c>
      <c r="P11" s="277" t="s">
        <v>662</v>
      </c>
      <c r="Q11" s="310"/>
      <c r="R11" s="266" t="s">
        <v>565</v>
      </c>
      <c r="S11" s="273" t="s">
        <v>543</v>
      </c>
      <c r="T11" s="275" t="s">
        <v>612</v>
      </c>
      <c r="U11" s="51" t="s">
        <v>289</v>
      </c>
      <c r="V11" s="51" t="s">
        <v>402</v>
      </c>
    </row>
    <row r="12" spans="1:22" ht="316.5" customHeight="1" x14ac:dyDescent="0.2">
      <c r="A12" s="782"/>
      <c r="B12" s="348" t="str">
        <f>Matrix!C8</f>
        <v>Loss of biodiversity due to increased use of chemicals (pesticides, herbicides, etc.)</v>
      </c>
      <c r="C12" s="274" t="str">
        <f>IF($E$3=0,"No answer given",IF((VLOOKUP(B12,Matrix!$C$4:$M$20,MATCH($E$3,Matrix!$I$3:$M$3,0)+6,0))="x","Yes","No"))</f>
        <v>No answer given</v>
      </c>
      <c r="D12" s="298">
        <v>6</v>
      </c>
      <c r="E12" s="275" t="s">
        <v>316</v>
      </c>
      <c r="F12" s="261" t="s">
        <v>623</v>
      </c>
      <c r="G12" s="261"/>
      <c r="H12" s="265"/>
      <c r="I12" s="289" cm="1">
        <f t="array" ref="I12">IF(ISBLANK(H12),0,_xlfn.SWITCH(H12,"A",3,"E",3,"B",2,"C",1,"D",0))</f>
        <v>0</v>
      </c>
      <c r="J12" s="61">
        <f t="shared" ref="J12:J20" si="2">I12</f>
        <v>0</v>
      </c>
      <c r="K12" s="99">
        <f>IF(C12="Yes",SUM(J12),SUM(J12)*0)</f>
        <v>0</v>
      </c>
      <c r="L12" s="135">
        <v>3</v>
      </c>
      <c r="M12" s="134">
        <f>IF(C12="Yes",SUM(L12),SUM(L12)*0)</f>
        <v>0</v>
      </c>
      <c r="N12" s="201" t="str">
        <f t="shared" si="1"/>
        <v>No answer given</v>
      </c>
      <c r="O12" s="682"/>
      <c r="P12" s="277" t="s">
        <v>318</v>
      </c>
      <c r="Q12" s="310"/>
      <c r="R12" s="266" t="s">
        <v>560</v>
      </c>
      <c r="S12" s="273" t="s">
        <v>539</v>
      </c>
      <c r="T12" s="275" t="s">
        <v>613</v>
      </c>
      <c r="U12" s="51" t="s">
        <v>403</v>
      </c>
      <c r="V12" s="51" t="s">
        <v>289</v>
      </c>
    </row>
    <row r="13" spans="1:22" ht="171" customHeight="1" x14ac:dyDescent="0.2">
      <c r="A13" s="782"/>
      <c r="B13" s="789" t="str">
        <f>Matrix!C9</f>
        <v>Water consumption for biomass production</v>
      </c>
      <c r="C13" s="654" t="str">
        <f>IF($E$3=0,"No answer given",IF((VLOOKUP(B13,Matrix!$C$4:$M$20,MATCH($E$3,Matrix!$I$3:$M$3,0)+6,0))="x","Yes","No"))</f>
        <v>No answer given</v>
      </c>
      <c r="D13" s="298">
        <v>7</v>
      </c>
      <c r="E13" s="275" t="s">
        <v>404</v>
      </c>
      <c r="F13" s="288" t="s">
        <v>546</v>
      </c>
      <c r="G13" s="349"/>
      <c r="H13" s="265"/>
      <c r="I13" s="289" cm="1">
        <f t="array" ref="I13">IF(ISBLANK(H13),0,_xlfn.SWITCH(H13,"A",3,"E",3,"B",2,"C",1,"D",0))</f>
        <v>0</v>
      </c>
      <c r="J13" s="99">
        <f t="shared" si="2"/>
        <v>0</v>
      </c>
      <c r="K13" s="783">
        <f>IF(C13="Yes",SUM(J13:J14),SUM(J13:J14)*0)</f>
        <v>0</v>
      </c>
      <c r="L13" s="135">
        <v>3</v>
      </c>
      <c r="M13" s="785">
        <f>IF(C13="Yes",SUM(L13:L14),SUM(L13:L14)*0)</f>
        <v>0</v>
      </c>
      <c r="N13" s="760" t="str" cm="1">
        <f t="array" ref="N13">IF(C13="Yes",IF(OR(ISBLANK(H13:H14)),"No answer given",IF(SUM(J13:J14)&lt;=(SUM(L13:L14)/3),"Low",IF(SUM(J13:J14)&gt;(SUM(L13:L14)*2/3),"High","Medium"))),IF(C13="No","N/A","No answer given"))</f>
        <v>No answer given</v>
      </c>
      <c r="O13" s="682"/>
      <c r="P13" s="277" t="s">
        <v>324</v>
      </c>
      <c r="Q13" s="310"/>
      <c r="R13" s="266" t="s">
        <v>555</v>
      </c>
      <c r="S13" s="273" t="s">
        <v>80</v>
      </c>
      <c r="T13" s="807" t="s">
        <v>605</v>
      </c>
      <c r="U13" s="51"/>
      <c r="V13" s="51" t="s">
        <v>403</v>
      </c>
    </row>
    <row r="14" spans="1:22" ht="78.75" customHeight="1" x14ac:dyDescent="0.3">
      <c r="A14" s="782"/>
      <c r="B14" s="790"/>
      <c r="C14" s="656"/>
      <c r="D14" s="298">
        <v>8</v>
      </c>
      <c r="E14" s="275" t="s">
        <v>622</v>
      </c>
      <c r="F14" s="266" t="s">
        <v>478</v>
      </c>
      <c r="G14" s="266" t="s">
        <v>289</v>
      </c>
      <c r="H14" s="265"/>
      <c r="I14" s="58">
        <f>IF(ISBLANK(H14),0,IF(H14=G14,0,1))</f>
        <v>0</v>
      </c>
      <c r="J14" s="61">
        <f t="shared" si="2"/>
        <v>0</v>
      </c>
      <c r="K14" s="784"/>
      <c r="L14" s="135">
        <v>1</v>
      </c>
      <c r="M14" s="786"/>
      <c r="N14" s="761"/>
      <c r="O14" s="682"/>
      <c r="P14" s="296" t="s">
        <v>327</v>
      </c>
      <c r="Q14" s="311"/>
      <c r="R14" s="266" t="s">
        <v>328</v>
      </c>
      <c r="S14" s="261"/>
      <c r="T14" s="808"/>
      <c r="U14" s="57"/>
      <c r="V14" s="57"/>
    </row>
    <row r="15" spans="1:22" ht="312.75" customHeight="1" x14ac:dyDescent="0.3">
      <c r="A15" s="782"/>
      <c r="B15" s="348" t="str">
        <f>Matrix!C10</f>
        <v>Water &amp; soil contamination</v>
      </c>
      <c r="C15" s="274" t="str">
        <f>IF($E$3=0,"No answer given",IF((VLOOKUP(B15,Matrix!$C$4:$M$20,MATCH($E$3,Matrix!$I$3:$M$3,0)+6,0))="x","Yes","No"))</f>
        <v>No answer given</v>
      </c>
      <c r="D15" s="298">
        <v>9</v>
      </c>
      <c r="E15" s="275" t="s">
        <v>673</v>
      </c>
      <c r="F15" s="295" t="s">
        <v>548</v>
      </c>
      <c r="G15" s="266"/>
      <c r="H15" s="265"/>
      <c r="I15" s="289" cm="1">
        <f t="array" ref="I15">IF(ISBLANK(H15),0,_xlfn.SWITCH(H15,"A",3,"E",3,"B",2,"C",1,"D",0))</f>
        <v>0</v>
      </c>
      <c r="J15" s="61">
        <f t="shared" si="2"/>
        <v>0</v>
      </c>
      <c r="K15" s="61">
        <f>IF(C15="Yes",SUM(J15),SUM(J15)*0)</f>
        <v>0</v>
      </c>
      <c r="L15" s="135">
        <v>3</v>
      </c>
      <c r="M15" s="135">
        <f>IF(C15="Yes",SUM(L15),SUM(L15)*0)</f>
        <v>0</v>
      </c>
      <c r="N15" s="201" t="str">
        <f>IF(C15="Yes",IF(OR(ISBLANK(H15)),"No answer given",IF(SUM(J15)&lt;=(SUM(L15)/3),"Low",IF(SUM(J15)&gt;(SUM(L15)*2/3),"High","Medium"))),IF(C15="No","N/A","No answer given"))</f>
        <v>No answer given</v>
      </c>
      <c r="O15" s="683"/>
      <c r="P15" s="296" t="s">
        <v>674</v>
      </c>
      <c r="Q15" s="311"/>
      <c r="R15" s="266" t="s">
        <v>482</v>
      </c>
      <c r="S15" s="261"/>
      <c r="T15" s="350" t="s">
        <v>606</v>
      </c>
      <c r="U15" s="57"/>
      <c r="V15" s="57"/>
    </row>
    <row r="16" spans="1:22" ht="199.5" customHeight="1" x14ac:dyDescent="0.3">
      <c r="A16" s="729" t="s">
        <v>256</v>
      </c>
      <c r="B16" s="351" t="str">
        <f>Matrix!C11</f>
        <v>Open field burning of agricultural waste and wildfires</v>
      </c>
      <c r="C16" s="274" t="str">
        <f>IF($E$3=0,"No answer given",IF((VLOOKUP(B16,Matrix!$C$4:$M$20,MATCH($E$3,Matrix!$I$3:$M$3,0)+6,0))="x","Yes","No"))</f>
        <v>No answer given</v>
      </c>
      <c r="D16" s="298">
        <v>10</v>
      </c>
      <c r="E16" s="275" t="s">
        <v>663</v>
      </c>
      <c r="F16" s="266" t="s">
        <v>478</v>
      </c>
      <c r="G16" s="266" t="s">
        <v>289</v>
      </c>
      <c r="H16" s="344"/>
      <c r="I16" s="58">
        <f>IF(ISBLANK(H16),0,IF(H16=G16,0,1))</f>
        <v>0</v>
      </c>
      <c r="J16" s="101">
        <f t="shared" si="2"/>
        <v>0</v>
      </c>
      <c r="K16" s="61">
        <f>IF(C16="Yes",SUM(J16),SUM(J16)*0)</f>
        <v>0</v>
      </c>
      <c r="L16" s="136">
        <v>1</v>
      </c>
      <c r="M16" s="135">
        <f>IF(C16="Yes",SUM(L16),SUM(L16)*0)</f>
        <v>0</v>
      </c>
      <c r="N16" s="201" t="str">
        <f t="shared" ref="N16:N18" si="3">IF(C16="Yes",IF(OR(ISBLANK(H16)),"No answer given",IF(SUM(J16)&lt;=(SUM(L16)/3),"Low",IF(SUM(J16)&gt;(SUM(L16)*2/3),"High","Medium"))),IF(C16="No","N/A","No answer given"))</f>
        <v>No answer given</v>
      </c>
      <c r="O16" s="681" t="str">
        <f>IF(COUNTIF(N16:N18,"No answer given")&gt;0,"No answer given",IF(SUM(K16:K18)&lt;=(SUM(M16:M18)/3),"Low Risk",IF(SUM(K16:K18)&gt;(SUM(M16:M18)*2/3),"High Risk","Medium Risk")))</f>
        <v>No answer given</v>
      </c>
      <c r="P16" s="352" t="s">
        <v>331</v>
      </c>
      <c r="Q16" s="311"/>
      <c r="R16" s="266" t="s">
        <v>481</v>
      </c>
      <c r="S16" s="261"/>
      <c r="T16" s="268" t="s">
        <v>664</v>
      </c>
      <c r="U16" s="51"/>
      <c r="V16" s="51"/>
    </row>
    <row r="17" spans="1:22" ht="312" customHeight="1" x14ac:dyDescent="0.3">
      <c r="A17" s="729"/>
      <c r="B17" s="351" t="str">
        <f>Matrix!C12</f>
        <v>Air contaminants emissions during production processes</v>
      </c>
      <c r="C17" s="274" t="str">
        <f>IF($E$3=0,"No answer given",IF((VLOOKUP(B17,Matrix!$C$4:$M$20,MATCH($E$3,Matrix!$I$3:$M$3,0)+6,0))="x","Yes","No"))</f>
        <v>No answer given</v>
      </c>
      <c r="D17" s="298">
        <v>11</v>
      </c>
      <c r="E17" s="275" t="s">
        <v>675</v>
      </c>
      <c r="F17" s="266" t="s">
        <v>548</v>
      </c>
      <c r="G17" s="266"/>
      <c r="H17" s="265"/>
      <c r="I17" s="289" cm="1">
        <f t="array" ref="I17">IF(ISBLANK(H17),0,_xlfn.SWITCH(H17,"A",3,"E",3,"B",2,"C",1,"D",0))</f>
        <v>0</v>
      </c>
      <c r="J17" s="62">
        <f t="shared" si="2"/>
        <v>0</v>
      </c>
      <c r="K17" s="61">
        <f t="shared" ref="K17" si="4">IF(C17="Yes",SUM(J17),SUM(J17)*0)</f>
        <v>0</v>
      </c>
      <c r="L17" s="136">
        <v>3</v>
      </c>
      <c r="M17" s="135">
        <f t="shared" ref="M17:M18" si="5">IF(C17="Yes",SUM(L17),SUM(L17)*0)</f>
        <v>0</v>
      </c>
      <c r="N17" s="201" t="str">
        <f t="shared" si="3"/>
        <v>No answer given</v>
      </c>
      <c r="O17" s="682"/>
      <c r="P17" s="296" t="s">
        <v>674</v>
      </c>
      <c r="Q17" s="311"/>
      <c r="R17" s="266" t="s">
        <v>676</v>
      </c>
      <c r="S17" s="261"/>
      <c r="T17" s="347" t="s">
        <v>607</v>
      </c>
      <c r="U17" s="57"/>
      <c r="V17" s="57"/>
    </row>
    <row r="18" spans="1:22" ht="239.25" customHeight="1" x14ac:dyDescent="0.2">
      <c r="A18" s="729"/>
      <c r="B18" s="351" t="str">
        <f>Matrix!C13</f>
        <v>Air contaminants emissions from biomass combustion</v>
      </c>
      <c r="C18" s="274" t="str">
        <f>IF($E$3=0,"No answer given",IF((VLOOKUP(B18,Matrix!$C$4:$M$20,MATCH($E$3,Matrix!$I$3:$M$3,0)+6,0))="x","Yes","No"))</f>
        <v>No answer given</v>
      </c>
      <c r="D18" s="298">
        <v>12</v>
      </c>
      <c r="E18" s="275" t="s">
        <v>405</v>
      </c>
      <c r="F18" s="266" t="s">
        <v>556</v>
      </c>
      <c r="G18" s="266"/>
      <c r="H18" s="293"/>
      <c r="I18" s="289" cm="1">
        <f t="array" ref="I18">IF(ISBLANK(H18),0,_xlfn.SWITCH(H18,"A",3,"E",3,"B",2,"C",1,"D",0))</f>
        <v>0</v>
      </c>
      <c r="J18" s="62">
        <f t="shared" si="2"/>
        <v>0</v>
      </c>
      <c r="K18" s="61">
        <f>IF(C18="Yes",SUM(J18),SUM(J18)*0)</f>
        <v>0</v>
      </c>
      <c r="L18" s="136">
        <v>3</v>
      </c>
      <c r="M18" s="135">
        <f t="shared" si="5"/>
        <v>0</v>
      </c>
      <c r="N18" s="201" t="str">
        <f t="shared" si="3"/>
        <v>No answer given</v>
      </c>
      <c r="O18" s="683"/>
      <c r="P18" s="266" t="s">
        <v>334</v>
      </c>
      <c r="Q18" s="308"/>
      <c r="R18" s="264" t="s">
        <v>665</v>
      </c>
      <c r="S18" s="261"/>
      <c r="T18" s="350" t="s">
        <v>487</v>
      </c>
      <c r="U18" s="1"/>
      <c r="V18" s="1"/>
    </row>
    <row r="19" spans="1:22" ht="83.25" customHeight="1" x14ac:dyDescent="0.3">
      <c r="A19" s="668" t="s">
        <v>60</v>
      </c>
      <c r="B19" s="787" t="str">
        <f>Matrix!C14</f>
        <v>Land rights</v>
      </c>
      <c r="C19" s="654" t="str">
        <f>IF($E$3=0,"No answer given",IF((VLOOKUP(B19,Matrix!$C$4:$M$20,MATCH($E$3,Matrix!$I$3:$M$3,0)+6,0))="x","Yes","No"))</f>
        <v>No answer given</v>
      </c>
      <c r="D19" s="298">
        <v>13</v>
      </c>
      <c r="E19" s="275" t="s">
        <v>429</v>
      </c>
      <c r="F19" s="266" t="s">
        <v>478</v>
      </c>
      <c r="G19" s="266" t="s">
        <v>290</v>
      </c>
      <c r="H19" s="265"/>
      <c r="I19" s="58">
        <f>IF(ISBLANK(H19),0,IF(H19=G19,0,1))</f>
        <v>0</v>
      </c>
      <c r="J19" s="62">
        <f t="shared" si="2"/>
        <v>0</v>
      </c>
      <c r="K19" s="583">
        <f>IF(C19="Yes",SUM(J19:J20),SUM(J19:J20)*0)</f>
        <v>0</v>
      </c>
      <c r="L19" s="137">
        <v>1</v>
      </c>
      <c r="M19" s="583">
        <f>IF(C19="Yes",SUM(L19:L20),SUM(L19:L20)*0)</f>
        <v>0</v>
      </c>
      <c r="N19" s="760" t="str" cm="1">
        <f t="array" ref="N19">IF(C19="Yes",IF(OR(ISBLANK(H19:H20)),"No answer given",IF(SUM(J19:J20)&lt;=(SUM(L19:L20)/3),"Low",IF(SUM(J19:J20)&gt;(SUM(L19:L20)*2/3),"High","Medium"))),IF(C19="No","N/A","No answer given"))</f>
        <v>No answer given</v>
      </c>
      <c r="O19" s="681" t="str">
        <f>IF(COUNTIF(N19:N27,"No answer given")&gt;0,"No answer given",IF(N24="High","High Risk",IF(SUM(K19:K27)&lt;=(SUM(M19:M27)/3),"Low Risk",IF(SUM(K19:K27)&gt;(SUM(M19:M27)*2/3),"High Risk","Medium Risk"))))</f>
        <v>No answer given</v>
      </c>
      <c r="P19" s="296" t="s">
        <v>337</v>
      </c>
      <c r="Q19" s="311"/>
      <c r="R19" s="266" t="s">
        <v>338</v>
      </c>
      <c r="S19" s="261"/>
      <c r="T19" s="801" t="s">
        <v>608</v>
      </c>
      <c r="U19" s="51"/>
      <c r="V19" s="51"/>
    </row>
    <row r="20" spans="1:22" ht="222" customHeight="1" x14ac:dyDescent="0.3">
      <c r="A20" s="668"/>
      <c r="B20" s="787"/>
      <c r="C20" s="656"/>
      <c r="D20" s="298">
        <v>14</v>
      </c>
      <c r="E20" s="275" t="s">
        <v>666</v>
      </c>
      <c r="F20" s="266" t="s">
        <v>478</v>
      </c>
      <c r="G20" s="266" t="s">
        <v>289</v>
      </c>
      <c r="H20" s="265"/>
      <c r="I20" s="58">
        <f>IF(ISBLANK(H20),0,IF(H20=G20,0,1))</f>
        <v>0</v>
      </c>
      <c r="J20" s="62">
        <f t="shared" si="2"/>
        <v>0</v>
      </c>
      <c r="K20" s="585"/>
      <c r="L20" s="137">
        <v>1</v>
      </c>
      <c r="M20" s="585"/>
      <c r="N20" s="761"/>
      <c r="O20" s="682"/>
      <c r="P20" s="296" t="s">
        <v>340</v>
      </c>
      <c r="Q20" s="311"/>
      <c r="R20" s="266" t="s">
        <v>566</v>
      </c>
      <c r="S20" s="273" t="s">
        <v>540</v>
      </c>
      <c r="T20" s="803"/>
      <c r="U20" s="51"/>
      <c r="V20" s="51"/>
    </row>
    <row r="21" spans="1:22" ht="271.5" customHeight="1" x14ac:dyDescent="0.3">
      <c r="A21" s="668"/>
      <c r="B21" s="294" t="str">
        <f>Matrix!C15</f>
        <v>Community health and safety</v>
      </c>
      <c r="C21" s="274" t="str">
        <f>IF($E$3=0,"No answer given",IF((VLOOKUP(B21,Matrix!$C$4:$M$20,MATCH($E$3,Matrix!$I$3:$M$3,0)+6,0))="x","Yes","No"))</f>
        <v>No answer given</v>
      </c>
      <c r="D21" s="298">
        <v>15</v>
      </c>
      <c r="E21" s="268" t="s">
        <v>484</v>
      </c>
      <c r="F21" s="266" t="s">
        <v>478</v>
      </c>
      <c r="G21" s="266" t="s">
        <v>289</v>
      </c>
      <c r="H21" s="265"/>
      <c r="I21" s="58">
        <f>IF(ISBLANK(H21),0,IF(H21=G21,0,1))</f>
        <v>0</v>
      </c>
      <c r="J21" s="60">
        <f>AVERAGE(I21,I15:I17)</f>
        <v>0</v>
      </c>
      <c r="K21" s="60">
        <f>SUM(J21)</f>
        <v>0</v>
      </c>
      <c r="L21" s="137">
        <v>2</v>
      </c>
      <c r="M21" s="137">
        <f>L21</f>
        <v>2</v>
      </c>
      <c r="N21" s="201" t="str">
        <f t="shared" ref="N21:N22" si="6">IF(C21="Yes",IF(OR(ISBLANK(H21)),"No answer given",IF(SUM(J21)&lt;=(SUM(L21)/3),"Low",IF(SUM(J21)&gt;(SUM(L21)*2/3),"High","Medium"))),IF(C21="No","N/A","No answer given"))</f>
        <v>No answer given</v>
      </c>
      <c r="O21" s="682"/>
      <c r="P21" s="296" t="s">
        <v>345</v>
      </c>
      <c r="Q21" s="311"/>
      <c r="R21" s="266" t="s">
        <v>485</v>
      </c>
      <c r="S21" s="261"/>
      <c r="T21" s="268" t="s">
        <v>592</v>
      </c>
      <c r="U21" s="49"/>
      <c r="V21" s="49"/>
    </row>
    <row r="22" spans="1:22" ht="139.5" customHeight="1" x14ac:dyDescent="0.3">
      <c r="A22" s="668"/>
      <c r="B22" s="294" t="str">
        <f>Matrix!C16</f>
        <v>Decent remuneration and compensation for workers</v>
      </c>
      <c r="C22" s="274" t="str">
        <f>IF($E$3=0,"No answer given",IF((VLOOKUP(B22,Matrix!$C$4:$M$20,MATCH($E$3,Matrix!$I$3:$M$3,0)+6,0))="x","Yes","No"))</f>
        <v>No answer given</v>
      </c>
      <c r="D22" s="298">
        <v>16</v>
      </c>
      <c r="E22" s="268" t="s">
        <v>347</v>
      </c>
      <c r="F22" s="268" t="s">
        <v>348</v>
      </c>
      <c r="G22" s="266"/>
      <c r="H22" s="300"/>
      <c r="I22" s="58" cm="1">
        <f t="array" ref="I22">IF(ISBLANK(H22),0,_xlfn.SWITCH(H22,"Y",0,"Partially",1,"N",2,"Unknown",2))</f>
        <v>0</v>
      </c>
      <c r="J22" s="61">
        <f>I22</f>
        <v>0</v>
      </c>
      <c r="K22" s="99">
        <f>IF(C22="Yes",SUM(J22),SUM(J22)*0)</f>
        <v>0</v>
      </c>
      <c r="L22" s="137">
        <v>2</v>
      </c>
      <c r="M22" s="137">
        <f>IF(C22="Yes",SUM(L22),SUM(L22)*0)</f>
        <v>0</v>
      </c>
      <c r="N22" s="201" t="str">
        <f t="shared" si="6"/>
        <v>No answer given</v>
      </c>
      <c r="O22" s="682"/>
      <c r="P22" s="296" t="s">
        <v>349</v>
      </c>
      <c r="Q22" s="353"/>
      <c r="R22" s="266" t="s">
        <v>679</v>
      </c>
      <c r="S22" s="261"/>
      <c r="T22" s="268" t="s">
        <v>667</v>
      </c>
      <c r="U22" s="49"/>
      <c r="V22" s="49"/>
    </row>
    <row r="23" spans="1:22" ht="151.5" customHeight="1" x14ac:dyDescent="0.3">
      <c r="A23" s="668"/>
      <c r="B23" s="294" t="str">
        <f>Matrix!C17</f>
        <v>Occupational health and safety</v>
      </c>
      <c r="C23" s="274" t="str">
        <f>IF($E$3=0,"No answer given",IF((VLOOKUP(B23,Matrix!$C$4:$M$20,MATCH($E$3,Matrix!$I$3:$M$3,0)+6,0))="x","Yes","No"))</f>
        <v>No answer given</v>
      </c>
      <c r="D23" s="298">
        <v>17</v>
      </c>
      <c r="E23" s="345" t="s">
        <v>680</v>
      </c>
      <c r="F23" s="266" t="s">
        <v>455</v>
      </c>
      <c r="G23" s="266" t="s">
        <v>290</v>
      </c>
      <c r="H23" s="300"/>
      <c r="I23" s="58">
        <f>IF(ISBLANK(H23),0,IF(H23=G23,0,1))</f>
        <v>0</v>
      </c>
      <c r="J23" s="60">
        <f>AVERAGE(I23,I17:I18,I15)</f>
        <v>0</v>
      </c>
      <c r="K23" s="170">
        <f>IF(C23="Yes",SUM(J23),SUM(J23)*0)</f>
        <v>0</v>
      </c>
      <c r="L23" s="137">
        <v>2.5</v>
      </c>
      <c r="M23" s="137">
        <f>IF(C23="Yes",SUM(L23),SUM(L23)*0)</f>
        <v>0</v>
      </c>
      <c r="N23" s="201" t="str">
        <f>IF(C23="Yes",IF(OR(ISBLANK(H23)),"No answer given",IF(SUM(J23)&lt;=(SUM(L23)/3),"Low",IF(SUM(J23)&gt;(SUM(L23)*2/3),"High","Medium"))),IF(C23="No","N/A","No answer given"))</f>
        <v>No answer given</v>
      </c>
      <c r="O23" s="682"/>
      <c r="P23" s="296" t="s">
        <v>352</v>
      </c>
      <c r="Q23" s="311"/>
      <c r="R23" s="354" t="s">
        <v>563</v>
      </c>
      <c r="S23" s="307"/>
      <c r="T23" s="268" t="s">
        <v>609</v>
      </c>
      <c r="U23" s="49"/>
      <c r="V23" s="49"/>
    </row>
    <row r="24" spans="1:22" ht="98.25" customHeight="1" x14ac:dyDescent="0.3">
      <c r="A24" s="668"/>
      <c r="B24" s="787" t="str">
        <f>Matrix!C18</f>
        <v xml:space="preserve">Human rights, child labor and slavery </v>
      </c>
      <c r="C24" s="654" t="str">
        <f>IF($E$3=0,"No answer given",IF((VLOOKUP(B24,Matrix!$C$4:$M$20,MATCH($E$3,Matrix!$I$3:$M$3,0)+6,0))="x","Yes","No"))</f>
        <v>No answer given</v>
      </c>
      <c r="D24" s="298">
        <v>18</v>
      </c>
      <c r="E24" s="355" t="s">
        <v>630</v>
      </c>
      <c r="F24" s="266" t="s">
        <v>455</v>
      </c>
      <c r="G24" s="266" t="s">
        <v>290</v>
      </c>
      <c r="H24" s="300"/>
      <c r="I24" s="58">
        <f t="shared" ref="I24:I26" si="7">IF(ISBLANK(H24),0,IF(H24=G24,0,1))</f>
        <v>0</v>
      </c>
      <c r="J24" s="61">
        <f>I24</f>
        <v>0</v>
      </c>
      <c r="K24" s="583">
        <f>IF(C24="Yes",SUM(J24:J27),SUM(J24:J27)*0)</f>
        <v>0</v>
      </c>
      <c r="L24" s="137">
        <v>1</v>
      </c>
      <c r="M24" s="583">
        <f>IF(C24="Yes",SUM(L24:L27),SUM(L24:L27)*0)</f>
        <v>0</v>
      </c>
      <c r="N24" s="791" t="str" cm="1">
        <f t="array" ref="N24">IF(C24="Yes",IF(OR(ISBLANK(H24:H27)),"No answer given",IF(H26="Y","High",IF(SUM(J24:J27)&lt;=(SUM(L24:L27)/3),"Low",IF(SUM(J24:J27)&gt;(SUM(L24:L27)*2/3),"High","Medium")))),IF(C24="No","N/A","No answer given"))</f>
        <v>No answer given</v>
      </c>
      <c r="O24" s="682"/>
      <c r="P24" s="296" t="s">
        <v>681</v>
      </c>
      <c r="Q24" s="313"/>
      <c r="R24" s="804" t="s">
        <v>576</v>
      </c>
      <c r="S24" s="777" t="s">
        <v>544</v>
      </c>
      <c r="T24" s="801" t="s">
        <v>610</v>
      </c>
      <c r="U24" s="49"/>
      <c r="V24" s="49"/>
    </row>
    <row r="25" spans="1:22" ht="150.75" customHeight="1" x14ac:dyDescent="0.3">
      <c r="A25" s="669"/>
      <c r="B25" s="788"/>
      <c r="C25" s="655"/>
      <c r="D25" s="298">
        <v>19</v>
      </c>
      <c r="E25" s="355" t="s">
        <v>430</v>
      </c>
      <c r="F25" s="266" t="s">
        <v>455</v>
      </c>
      <c r="G25" s="266" t="s">
        <v>290</v>
      </c>
      <c r="H25" s="300"/>
      <c r="I25" s="58">
        <f t="shared" si="7"/>
        <v>0</v>
      </c>
      <c r="J25" s="61">
        <f>I25</f>
        <v>0</v>
      </c>
      <c r="K25" s="584"/>
      <c r="L25" s="137">
        <v>1</v>
      </c>
      <c r="M25" s="584"/>
      <c r="N25" s="792"/>
      <c r="O25" s="682"/>
      <c r="P25" s="296" t="s">
        <v>681</v>
      </c>
      <c r="Q25" s="313"/>
      <c r="R25" s="805"/>
      <c r="S25" s="777"/>
      <c r="T25" s="802"/>
      <c r="U25" s="51"/>
      <c r="V25" s="51"/>
    </row>
    <row r="26" spans="1:22" ht="119.1" customHeight="1" x14ac:dyDescent="0.3">
      <c r="A26" s="669"/>
      <c r="B26" s="788"/>
      <c r="C26" s="655"/>
      <c r="D26" s="298">
        <v>20</v>
      </c>
      <c r="E26" s="355" t="s">
        <v>431</v>
      </c>
      <c r="F26" s="266" t="s">
        <v>455</v>
      </c>
      <c r="G26" s="266" t="s">
        <v>290</v>
      </c>
      <c r="H26" s="300"/>
      <c r="I26" s="58">
        <f t="shared" si="7"/>
        <v>0</v>
      </c>
      <c r="J26" s="61">
        <f>I26</f>
        <v>0</v>
      </c>
      <c r="K26" s="584"/>
      <c r="L26" s="137">
        <v>1</v>
      </c>
      <c r="M26" s="584"/>
      <c r="N26" s="792"/>
      <c r="O26" s="682"/>
      <c r="P26" s="296" t="s">
        <v>683</v>
      </c>
      <c r="Q26" s="313"/>
      <c r="R26" s="805"/>
      <c r="S26" s="777"/>
      <c r="T26" s="802"/>
      <c r="U26" s="51"/>
      <c r="V26" s="51"/>
    </row>
    <row r="27" spans="1:22" ht="133.5" customHeight="1" x14ac:dyDescent="0.3">
      <c r="A27" s="669"/>
      <c r="B27" s="788"/>
      <c r="C27" s="656"/>
      <c r="D27" s="298">
        <v>21</v>
      </c>
      <c r="E27" s="275" t="s">
        <v>408</v>
      </c>
      <c r="F27" s="266" t="s">
        <v>575</v>
      </c>
      <c r="G27" s="266"/>
      <c r="H27" s="300"/>
      <c r="I27" s="289" cm="1">
        <f t="array" ref="I27">IF(ISBLANK(H27),0,_xlfn.SWITCH(H27,"A",3,"D",3,"B",2,"C",1))</f>
        <v>0</v>
      </c>
      <c r="J27" s="61">
        <f t="shared" ref="J27:J36" si="8">I27</f>
        <v>0</v>
      </c>
      <c r="K27" s="585"/>
      <c r="L27" s="137">
        <v>3</v>
      </c>
      <c r="M27" s="585"/>
      <c r="N27" s="793"/>
      <c r="O27" s="683"/>
      <c r="P27" s="296" t="s">
        <v>362</v>
      </c>
      <c r="Q27" s="313"/>
      <c r="R27" s="806"/>
      <c r="S27" s="777"/>
      <c r="T27" s="803"/>
      <c r="U27" s="51"/>
      <c r="V27" s="51"/>
    </row>
    <row r="28" spans="1:22" ht="211.5" customHeight="1" x14ac:dyDescent="0.3">
      <c r="A28" s="650" t="s">
        <v>364</v>
      </c>
      <c r="B28" s="651" t="str">
        <f>Matrix!C19</f>
        <v>Impact on food availability and price</v>
      </c>
      <c r="C28" s="654" t="str">
        <f>IF($E$3=0,"No answer given",IF((VLOOKUP(B28,Matrix!$C$4:$M$20,MATCH($E$3,Matrix!$I$3:$M$3,0)+6,0))="x","Yes","No"))</f>
        <v>No answer given</v>
      </c>
      <c r="D28" s="298">
        <v>22</v>
      </c>
      <c r="E28" s="275" t="s">
        <v>410</v>
      </c>
      <c r="F28" s="356" t="s">
        <v>549</v>
      </c>
      <c r="G28" s="266"/>
      <c r="H28" s="300"/>
      <c r="I28" s="58" cm="1">
        <f t="array" ref="I28">IF(ISBLANK(H28),0,_xlfn.SWITCH(H28,"A",1,"B",2,"C",3,"D",4,"E",5,"F",5))</f>
        <v>0</v>
      </c>
      <c r="J28" s="61">
        <f t="shared" si="8"/>
        <v>0</v>
      </c>
      <c r="K28" s="583">
        <f>IF(C28="Yes",SUM(J28:J34),SUM(J28:J34)*0)</f>
        <v>0</v>
      </c>
      <c r="L28" s="138">
        <v>5</v>
      </c>
      <c r="M28" s="594">
        <f>IF(C28="Yes",SUM(L28:L34),SUM(L28:L34)*0)</f>
        <v>0</v>
      </c>
      <c r="N28" s="757" t="str" cm="1">
        <f t="array" ref="N28">IF(C28="Yes",IF(OR(ISBLANK(H28:H34)),"No answer given",IF(SUM(J28:J34)&lt;=(SUM(L28:L34)/3),"Low",IF(SUM(J28:J34)&gt;(SUM(L28:L34)*2/3),"High","Medium"))),IF(C28="No","N/A","No answer given"))</f>
        <v>No answer given</v>
      </c>
      <c r="O28" s="681" t="str">
        <f>IF(COUNTIF(N28:N36,"No answer given")&gt;0,"No answer given",IF(N28="High","High Risk",IF(SUM(K28:K36)&lt;=(SUM(M28:M36)/3),"Low Risk",IF(SUM(K28:K36)&gt;(SUM(M28:M36)*2/3),"High Risk","Medium Risk"))))</f>
        <v>No answer given</v>
      </c>
      <c r="P28" s="296" t="s">
        <v>657</v>
      </c>
      <c r="Q28" s="297"/>
      <c r="R28" s="357" t="s">
        <v>564</v>
      </c>
      <c r="S28" s="273" t="s">
        <v>541</v>
      </c>
      <c r="T28" s="801" t="s">
        <v>614</v>
      </c>
      <c r="U28" s="51"/>
      <c r="V28" s="51"/>
    </row>
    <row r="29" spans="1:22" ht="60.75" customHeight="1" x14ac:dyDescent="0.2">
      <c r="A29" s="650"/>
      <c r="B29" s="652"/>
      <c r="C29" s="655"/>
      <c r="D29" s="658">
        <v>23</v>
      </c>
      <c r="E29" s="275" t="s">
        <v>571</v>
      </c>
      <c r="F29" s="661" t="s">
        <v>503</v>
      </c>
      <c r="G29" s="282" t="s">
        <v>289</v>
      </c>
      <c r="H29" s="300"/>
      <c r="I29" s="58">
        <f t="shared" ref="I29:I34" si="9">IF(ISBLANK(H29),0,IF(H29=G29,0,1))</f>
        <v>0</v>
      </c>
      <c r="J29" s="61">
        <f t="shared" si="8"/>
        <v>0</v>
      </c>
      <c r="K29" s="584"/>
      <c r="L29" s="138">
        <v>1</v>
      </c>
      <c r="M29" s="595"/>
      <c r="N29" s="758"/>
      <c r="O29" s="682"/>
      <c r="P29" s="768" t="s">
        <v>371</v>
      </c>
      <c r="Q29" s="314"/>
      <c r="R29" s="804" t="s">
        <v>488</v>
      </c>
      <c r="S29" s="778"/>
      <c r="T29" s="802"/>
      <c r="U29" s="51"/>
      <c r="V29" s="51"/>
    </row>
    <row r="30" spans="1:22" ht="23.25" customHeight="1" x14ac:dyDescent="0.2">
      <c r="A30" s="650"/>
      <c r="B30" s="652"/>
      <c r="C30" s="655"/>
      <c r="D30" s="659"/>
      <c r="E30" s="275" t="s">
        <v>572</v>
      </c>
      <c r="F30" s="662"/>
      <c r="G30" s="303" t="s">
        <v>289</v>
      </c>
      <c r="H30" s="300"/>
      <c r="I30" s="58">
        <f t="shared" si="9"/>
        <v>0</v>
      </c>
      <c r="J30" s="61">
        <f t="shared" si="8"/>
        <v>0</v>
      </c>
      <c r="K30" s="584"/>
      <c r="L30" s="138">
        <v>1</v>
      </c>
      <c r="M30" s="595"/>
      <c r="N30" s="758"/>
      <c r="O30" s="682"/>
      <c r="P30" s="769"/>
      <c r="Q30" s="314"/>
      <c r="R30" s="805"/>
      <c r="S30" s="779"/>
      <c r="T30" s="802"/>
      <c r="U30" s="51"/>
      <c r="V30" s="51"/>
    </row>
    <row r="31" spans="1:22" ht="48" customHeight="1" x14ac:dyDescent="0.2">
      <c r="A31" s="650"/>
      <c r="B31" s="652"/>
      <c r="C31" s="655"/>
      <c r="D31" s="660"/>
      <c r="E31" s="275" t="s">
        <v>373</v>
      </c>
      <c r="F31" s="663"/>
      <c r="G31" s="304" t="s">
        <v>289</v>
      </c>
      <c r="H31" s="300"/>
      <c r="I31" s="58">
        <f t="shared" si="9"/>
        <v>0</v>
      </c>
      <c r="J31" s="61">
        <f t="shared" si="8"/>
        <v>0</v>
      </c>
      <c r="K31" s="584"/>
      <c r="L31" s="138">
        <v>1</v>
      </c>
      <c r="M31" s="595"/>
      <c r="N31" s="758"/>
      <c r="O31" s="682"/>
      <c r="P31" s="770"/>
      <c r="Q31" s="314"/>
      <c r="R31" s="805"/>
      <c r="S31" s="779"/>
      <c r="T31" s="802"/>
      <c r="U31" s="51"/>
      <c r="V31" s="51"/>
    </row>
    <row r="32" spans="1:22" ht="62.25" customHeight="1" x14ac:dyDescent="0.2">
      <c r="A32" s="650"/>
      <c r="B32" s="652"/>
      <c r="C32" s="655"/>
      <c r="D32" s="658">
        <v>24</v>
      </c>
      <c r="E32" s="275" t="s">
        <v>570</v>
      </c>
      <c r="F32" s="664" t="s">
        <v>503</v>
      </c>
      <c r="G32" s="282" t="s">
        <v>289</v>
      </c>
      <c r="H32" s="300"/>
      <c r="I32" s="58">
        <f t="shared" si="9"/>
        <v>0</v>
      </c>
      <c r="J32" s="61">
        <f t="shared" si="8"/>
        <v>0</v>
      </c>
      <c r="K32" s="584"/>
      <c r="L32" s="138">
        <v>1</v>
      </c>
      <c r="M32" s="595"/>
      <c r="N32" s="758"/>
      <c r="O32" s="682"/>
      <c r="P32" s="771" t="s">
        <v>371</v>
      </c>
      <c r="Q32" s="204"/>
      <c r="R32" s="805"/>
      <c r="S32" s="779"/>
      <c r="T32" s="802"/>
      <c r="U32" s="51"/>
      <c r="V32" s="51"/>
    </row>
    <row r="33" spans="1:22" ht="84" customHeight="1" x14ac:dyDescent="0.2">
      <c r="A33" s="650"/>
      <c r="B33" s="652"/>
      <c r="C33" s="655"/>
      <c r="D33" s="659"/>
      <c r="E33" s="275" t="s">
        <v>569</v>
      </c>
      <c r="F33" s="665"/>
      <c r="G33" s="303" t="s">
        <v>289</v>
      </c>
      <c r="H33" s="300"/>
      <c r="I33" s="58">
        <f t="shared" si="9"/>
        <v>0</v>
      </c>
      <c r="J33" s="61">
        <f t="shared" si="8"/>
        <v>0</v>
      </c>
      <c r="K33" s="584"/>
      <c r="L33" s="138">
        <v>1</v>
      </c>
      <c r="M33" s="595"/>
      <c r="N33" s="758"/>
      <c r="O33" s="682"/>
      <c r="P33" s="772"/>
      <c r="Q33" s="204"/>
      <c r="R33" s="805"/>
      <c r="S33" s="779"/>
      <c r="T33" s="802"/>
      <c r="U33" s="51"/>
      <c r="V33" s="51"/>
    </row>
    <row r="34" spans="1:22" ht="81" customHeight="1" x14ac:dyDescent="0.2">
      <c r="A34" s="650"/>
      <c r="B34" s="653"/>
      <c r="C34" s="656"/>
      <c r="D34" s="660"/>
      <c r="E34" s="275" t="s">
        <v>376</v>
      </c>
      <c r="F34" s="666"/>
      <c r="G34" s="304" t="s">
        <v>289</v>
      </c>
      <c r="H34" s="300"/>
      <c r="I34" s="58">
        <f t="shared" si="9"/>
        <v>0</v>
      </c>
      <c r="J34" s="61">
        <f t="shared" si="8"/>
        <v>0</v>
      </c>
      <c r="K34" s="585"/>
      <c r="L34" s="138">
        <v>1</v>
      </c>
      <c r="M34" s="596"/>
      <c r="N34" s="759"/>
      <c r="O34" s="682"/>
      <c r="P34" s="773"/>
      <c r="Q34" s="204"/>
      <c r="R34" s="806"/>
      <c r="S34" s="780"/>
      <c r="T34" s="803"/>
      <c r="U34" s="51"/>
      <c r="V34" s="51"/>
    </row>
    <row r="35" spans="1:22" ht="155.25" customHeight="1" x14ac:dyDescent="0.2">
      <c r="A35" s="650"/>
      <c r="B35" s="651" t="str">
        <f>Matrix!C20</f>
        <v>Increased and equitable share of revenues &amp; employment opportunities for local communities development</v>
      </c>
      <c r="C35" s="654" t="str">
        <f>IF($E$3=0,"No answer given",IF((VLOOKUP(B35,Matrix!$C$4:$M$20,MATCH($E$3,Matrix!$I$3:$M$3,0)+6,0))="x","Yes","No"))</f>
        <v>No answer given</v>
      </c>
      <c r="D35" s="298">
        <v>25</v>
      </c>
      <c r="E35" s="275" t="s">
        <v>432</v>
      </c>
      <c r="F35" s="266" t="s">
        <v>684</v>
      </c>
      <c r="G35" s="266"/>
      <c r="H35" s="293"/>
      <c r="I35" s="289" cm="1">
        <f t="array" ref="I35">IF(ISBLANK(H35),0,_xlfn.SWITCH(H35,"A",3,"E",3,"B",2,"C",1,"D",0))</f>
        <v>0</v>
      </c>
      <c r="J35" s="61">
        <f t="shared" si="8"/>
        <v>0</v>
      </c>
      <c r="K35" s="583">
        <f>IF(C35="Yes",SUM(J35:J36),SUM(J35:J36)*0)</f>
        <v>0</v>
      </c>
      <c r="L35" s="138">
        <v>5</v>
      </c>
      <c r="M35" s="594">
        <f>IF(C35="Yes",SUM(L35:L36),SUM(L35:L36)*0)</f>
        <v>0</v>
      </c>
      <c r="N35" s="757" t="str" cm="1">
        <f t="array" ref="N35">IF(C35="Yes",IF(OR(ISBLANK(H35:H36)),"No answer given",IF(SUM(J35:J36)&lt;=(SUM(L35:L36)/3),"Low",IF(SUM(J35:J36)&gt;(SUM(L35:L36)*2/3),"High","Medium"))),IF(C35="No","N/A","No answer given"))</f>
        <v>No answer given</v>
      </c>
      <c r="O35" s="682"/>
      <c r="P35" s="266" t="s">
        <v>378</v>
      </c>
      <c r="Q35" s="308"/>
      <c r="R35" s="266" t="s">
        <v>379</v>
      </c>
      <c r="S35" s="261"/>
      <c r="T35" s="801" t="s">
        <v>658</v>
      </c>
      <c r="U35" s="51"/>
      <c r="V35" s="51"/>
    </row>
    <row r="36" spans="1:22" ht="226.5" customHeight="1" x14ac:dyDescent="0.2">
      <c r="A36" s="650"/>
      <c r="B36" s="652"/>
      <c r="C36" s="656"/>
      <c r="D36" s="298">
        <v>26</v>
      </c>
      <c r="E36" s="275" t="s">
        <v>433</v>
      </c>
      <c r="F36" s="266" t="s">
        <v>547</v>
      </c>
      <c r="G36" s="266" t="s">
        <v>295</v>
      </c>
      <c r="H36" s="300"/>
      <c r="I36" s="58">
        <f>IF(ISBLANK(H36),0,IF(H36=G36,0,2))</f>
        <v>0</v>
      </c>
      <c r="J36" s="61">
        <f t="shared" si="8"/>
        <v>0</v>
      </c>
      <c r="K36" s="584"/>
      <c r="L36" s="138">
        <v>3</v>
      </c>
      <c r="M36" s="595"/>
      <c r="N36" s="758"/>
      <c r="O36" s="682"/>
      <c r="P36" s="266" t="s">
        <v>382</v>
      </c>
      <c r="Q36" s="308"/>
      <c r="R36" s="266" t="s">
        <v>670</v>
      </c>
      <c r="S36" s="273" t="s">
        <v>545</v>
      </c>
      <c r="T36" s="803"/>
      <c r="U36" s="51"/>
      <c r="V36" s="51"/>
    </row>
    <row r="37" spans="1:22" ht="17.100000000000001" hidden="1" customHeight="1" x14ac:dyDescent="0.2">
      <c r="A37" s="139"/>
      <c r="B37" s="139"/>
      <c r="C37" s="169" t="e">
        <f>VLOOKUP(B37,Overview!$D$54:$J$70,7,0)</f>
        <v>#N/A</v>
      </c>
      <c r="D37" s="150"/>
      <c r="E37" s="132"/>
      <c r="F37" s="140"/>
      <c r="G37" s="140"/>
      <c r="H37" s="48"/>
      <c r="I37" s="58"/>
      <c r="J37" s="61"/>
      <c r="K37" s="61"/>
      <c r="L37" s="138"/>
      <c r="M37" s="138">
        <f>SUM(M5:M36)</f>
        <v>2</v>
      </c>
      <c r="N37" s="138"/>
      <c r="O37" s="130"/>
      <c r="P37" s="38"/>
      <c r="Q37" s="38"/>
      <c r="R37" s="140"/>
      <c r="S37" s="140"/>
      <c r="T37" s="51"/>
      <c r="U37" s="51"/>
      <c r="V37" s="51"/>
    </row>
    <row r="38" spans="1:22" ht="54.6" customHeight="1" x14ac:dyDescent="0.2">
      <c r="A38" s="1"/>
      <c r="B38" s="1"/>
      <c r="C38" s="1"/>
      <c r="D38" s="150"/>
      <c r="E38" s="636" t="s">
        <v>411</v>
      </c>
      <c r="F38" s="636"/>
      <c r="G38" s="636"/>
      <c r="H38" s="636"/>
      <c r="I38" s="636"/>
      <c r="J38" s="636"/>
      <c r="K38" s="636"/>
      <c r="L38" s="636"/>
      <c r="M38" s="636"/>
      <c r="N38" s="636"/>
      <c r="O38" s="637"/>
      <c r="P38" s="28"/>
      <c r="Q38" s="28"/>
      <c r="R38" s="1"/>
      <c r="S38" s="1"/>
      <c r="T38" s="1"/>
      <c r="U38" s="1"/>
      <c r="V38" s="1"/>
    </row>
    <row r="39" spans="1:22" ht="12.75" customHeight="1" x14ac:dyDescent="0.2">
      <c r="A39" s="1"/>
      <c r="B39" s="1"/>
      <c r="C39" s="1"/>
      <c r="D39" s="150"/>
      <c r="E39" s="150"/>
      <c r="F39" s="150"/>
      <c r="G39" s="150"/>
      <c r="H39" s="150"/>
      <c r="I39" s="150"/>
      <c r="J39" s="150"/>
      <c r="K39" s="150"/>
      <c r="L39" s="150"/>
      <c r="M39" s="150"/>
      <c r="N39" s="150"/>
      <c r="O39" s="150"/>
      <c r="P39" s="150"/>
      <c r="Q39" s="150"/>
      <c r="R39" s="150"/>
      <c r="S39" s="150"/>
      <c r="T39" s="1"/>
      <c r="U39" s="1"/>
      <c r="V39" s="1"/>
    </row>
    <row r="40" spans="1:22" ht="12.75" customHeight="1" x14ac:dyDescent="0.2">
      <c r="A40" s="1"/>
      <c r="B40" s="1"/>
      <c r="C40" s="1"/>
      <c r="D40" s="150"/>
      <c r="E40" s="145"/>
      <c r="F40" s="145"/>
      <c r="G40" s="145"/>
      <c r="H40" s="145"/>
      <c r="I40" s="145"/>
      <c r="J40" s="145"/>
      <c r="K40" s="145"/>
      <c r="L40" s="145"/>
      <c r="M40" s="145"/>
      <c r="N40" s="145"/>
      <c r="O40" s="145"/>
      <c r="P40" s="150"/>
      <c r="Q40" s="150"/>
      <c r="R40" s="150"/>
      <c r="S40" s="150"/>
      <c r="T40" s="1"/>
      <c r="U40" s="1"/>
      <c r="V40" s="1"/>
    </row>
    <row r="41" spans="1:22" ht="12.75" customHeight="1" x14ac:dyDescent="0.2">
      <c r="A41" s="1"/>
      <c r="B41" s="1"/>
      <c r="C41" s="1"/>
      <c r="D41" s="150"/>
      <c r="E41" s="145"/>
      <c r="F41" s="145"/>
      <c r="G41" s="145"/>
      <c r="H41" s="83"/>
      <c r="I41" s="145"/>
      <c r="J41" s="145"/>
      <c r="K41" s="145"/>
      <c r="L41" s="145"/>
      <c r="M41" s="145"/>
      <c r="N41" s="145"/>
      <c r="O41" s="145"/>
      <c r="P41" s="150"/>
      <c r="Q41" s="150"/>
      <c r="R41" s="150"/>
      <c r="S41" s="150"/>
      <c r="T41" s="1"/>
      <c r="U41" s="1"/>
      <c r="V41" s="1"/>
    </row>
    <row r="42" spans="1:22" ht="12.75" customHeight="1" x14ac:dyDescent="0.2">
      <c r="A42" s="1"/>
      <c r="B42" s="1"/>
      <c r="C42" s="1"/>
      <c r="D42" s="150"/>
      <c r="E42" s="145"/>
      <c r="F42" s="145"/>
      <c r="G42" s="145"/>
      <c r="H42" s="84">
        <f>SUM(J5:J36)</f>
        <v>0</v>
      </c>
      <c r="I42" s="145"/>
      <c r="J42" s="145"/>
      <c r="K42" s="145"/>
      <c r="L42" s="145"/>
      <c r="M42" s="145"/>
      <c r="N42" s="145"/>
      <c r="O42" s="145"/>
      <c r="P42" s="150"/>
      <c r="Q42" s="150"/>
      <c r="R42" s="150"/>
      <c r="S42" s="150"/>
      <c r="T42" s="1"/>
      <c r="U42" s="1"/>
      <c r="V42" s="1"/>
    </row>
    <row r="43" spans="1:22" x14ac:dyDescent="0.2">
      <c r="A43" s="1"/>
      <c r="B43" s="1"/>
      <c r="C43" s="1"/>
      <c r="D43" s="150"/>
      <c r="E43" s="145"/>
      <c r="F43" s="145"/>
      <c r="G43" s="145"/>
      <c r="H43" s="82"/>
      <c r="I43" s="145"/>
      <c r="J43" s="145"/>
      <c r="K43" s="145"/>
      <c r="L43" s="145"/>
      <c r="M43" s="145"/>
      <c r="N43" s="145"/>
      <c r="O43" s="145"/>
      <c r="P43" s="145"/>
      <c r="Q43" s="145"/>
      <c r="R43" s="1"/>
      <c r="S43" s="1"/>
      <c r="T43" s="1"/>
      <c r="U43" s="1"/>
      <c r="V43" s="1"/>
    </row>
    <row r="44" spans="1:22" ht="30" customHeight="1" x14ac:dyDescent="0.2">
      <c r="A44" s="1"/>
      <c r="B44" s="1"/>
      <c r="C44" s="1"/>
      <c r="D44" s="150"/>
      <c r="E44" s="145"/>
      <c r="F44" s="145"/>
      <c r="G44" s="145"/>
      <c r="H44" s="145"/>
      <c r="I44" s="145"/>
      <c r="J44" s="145"/>
      <c r="K44" s="145"/>
      <c r="L44" s="145"/>
      <c r="M44" s="145"/>
      <c r="N44" s="145"/>
      <c r="O44" s="145"/>
      <c r="P44" s="145"/>
      <c r="Q44" s="145"/>
      <c r="R44" s="1"/>
      <c r="S44" s="1"/>
      <c r="T44" s="1"/>
      <c r="U44" s="1"/>
      <c r="V44" s="1"/>
    </row>
    <row r="45" spans="1:22" x14ac:dyDescent="0.2">
      <c r="A45" s="1"/>
      <c r="B45" s="1"/>
      <c r="C45" s="1"/>
      <c r="D45" s="150"/>
      <c r="E45" s="145"/>
      <c r="F45" s="145"/>
      <c r="G45" s="145"/>
      <c r="H45" s="145"/>
      <c r="I45" s="145"/>
      <c r="J45" s="145"/>
      <c r="K45" s="145"/>
      <c r="L45" s="145"/>
      <c r="M45" s="145"/>
      <c r="N45" s="145"/>
      <c r="O45" s="145"/>
      <c r="P45" s="145"/>
      <c r="Q45" s="145"/>
      <c r="R45" s="1"/>
      <c r="S45" s="1"/>
      <c r="T45" s="1"/>
      <c r="U45" s="1"/>
      <c r="V45" s="1"/>
    </row>
    <row r="46" spans="1:22" x14ac:dyDescent="0.2">
      <c r="A46" s="1"/>
      <c r="B46" s="1"/>
      <c r="C46" s="1"/>
      <c r="D46" s="150"/>
      <c r="E46" s="145"/>
      <c r="F46" s="145"/>
      <c r="G46" s="145"/>
      <c r="H46" s="145"/>
      <c r="I46" s="145"/>
      <c r="J46" s="145"/>
      <c r="K46" s="145"/>
      <c r="L46" s="145"/>
      <c r="M46" s="145"/>
      <c r="N46" s="145"/>
      <c r="O46" s="145"/>
      <c r="P46" s="145"/>
      <c r="Q46" s="145"/>
      <c r="R46" s="1"/>
      <c r="S46" s="1"/>
      <c r="T46" s="1"/>
      <c r="U46" s="1"/>
      <c r="V46" s="1"/>
    </row>
    <row r="47" spans="1:22" x14ac:dyDescent="0.2">
      <c r="A47" s="1"/>
      <c r="B47" s="1"/>
      <c r="C47" s="1"/>
      <c r="D47" s="150"/>
      <c r="E47" s="145"/>
      <c r="F47" s="145"/>
      <c r="G47" s="145"/>
      <c r="H47" s="145"/>
      <c r="I47" s="145"/>
      <c r="J47" s="145"/>
      <c r="K47" s="145"/>
      <c r="L47" s="145"/>
      <c r="M47" s="145"/>
      <c r="N47" s="145"/>
      <c r="O47" s="145"/>
      <c r="P47" s="145"/>
      <c r="Q47" s="145"/>
      <c r="R47" s="1"/>
      <c r="S47" s="1"/>
      <c r="T47" s="1"/>
      <c r="U47" s="1"/>
      <c r="V47" s="1"/>
    </row>
    <row r="48" spans="1:22" x14ac:dyDescent="0.2">
      <c r="A48" s="1"/>
      <c r="B48" s="1"/>
      <c r="C48" s="1"/>
      <c r="D48" s="150"/>
      <c r="E48" s="145"/>
      <c r="F48" s="145"/>
      <c r="G48" s="145"/>
      <c r="H48" s="145"/>
      <c r="I48" s="145"/>
      <c r="J48" s="145"/>
      <c r="K48" s="145"/>
      <c r="L48" s="145"/>
      <c r="M48" s="145"/>
      <c r="N48" s="145"/>
      <c r="O48" s="145"/>
      <c r="P48" s="145"/>
      <c r="Q48" s="145"/>
      <c r="R48" s="1"/>
      <c r="S48" s="1"/>
      <c r="T48" s="1"/>
      <c r="U48" s="1"/>
      <c r="V48" s="1"/>
    </row>
  </sheetData>
  <sheetProtection algorithmName="SHA-512" hashValue="z85UT4tzgjV52Vo9PYhv42hRfUrTfd/VjZ+nkya0RlY9IyBKB06iPF8lkDig/pjaLdR0xwr9gf5sEnzjIZQFhQ==" saltValue="ymsRjWBt/7bZuy07idnTqw==" spinCount="100000" sheet="1" objects="1" scenarios="1"/>
  <protectedRanges>
    <protectedRange sqref="S5:S36" name="Link"/>
    <protectedRange sqref="Q5:Q36" name="User Note"/>
    <protectedRange sqref="H5:H36" name="Input Answer"/>
  </protectedRanges>
  <mergeCells count="72">
    <mergeCell ref="A1:T2"/>
    <mergeCell ref="B3:D3"/>
    <mergeCell ref="E4:F4"/>
    <mergeCell ref="A5:A10"/>
    <mergeCell ref="B5:B7"/>
    <mergeCell ref="C5:C7"/>
    <mergeCell ref="D5:D7"/>
    <mergeCell ref="F5:F7"/>
    <mergeCell ref="K5:K7"/>
    <mergeCell ref="M5:M7"/>
    <mergeCell ref="P5:P7"/>
    <mergeCell ref="R5:R7"/>
    <mergeCell ref="T5:T7"/>
    <mergeCell ref="B8:B9"/>
    <mergeCell ref="C8:C9"/>
    <mergeCell ref="O5:O10"/>
    <mergeCell ref="A11:A15"/>
    <mergeCell ref="O11:O15"/>
    <mergeCell ref="B13:B14"/>
    <mergeCell ref="C13:C14"/>
    <mergeCell ref="K13:K14"/>
    <mergeCell ref="M13:M14"/>
    <mergeCell ref="N13:N14"/>
    <mergeCell ref="A16:A18"/>
    <mergeCell ref="O16:O18"/>
    <mergeCell ref="A19:A27"/>
    <mergeCell ref="B19:B20"/>
    <mergeCell ref="C19:C20"/>
    <mergeCell ref="K19:K20"/>
    <mergeCell ref="M19:M20"/>
    <mergeCell ref="N19:N20"/>
    <mergeCell ref="O19:O27"/>
    <mergeCell ref="B24:B27"/>
    <mergeCell ref="C24:C27"/>
    <mergeCell ref="K24:K27"/>
    <mergeCell ref="M24:M27"/>
    <mergeCell ref="N24:N27"/>
    <mergeCell ref="A28:A36"/>
    <mergeCell ref="B28:B34"/>
    <mergeCell ref="C28:C34"/>
    <mergeCell ref="K28:K34"/>
    <mergeCell ref="M28:M34"/>
    <mergeCell ref="B35:B36"/>
    <mergeCell ref="C35:C36"/>
    <mergeCell ref="D29:D31"/>
    <mergeCell ref="F29:F31"/>
    <mergeCell ref="D32:D34"/>
    <mergeCell ref="F32:F34"/>
    <mergeCell ref="N8:N9"/>
    <mergeCell ref="T35:T36"/>
    <mergeCell ref="E38:O38"/>
    <mergeCell ref="R29:R34"/>
    <mergeCell ref="S24:S27"/>
    <mergeCell ref="S29:S34"/>
    <mergeCell ref="P32:P34"/>
    <mergeCell ref="N28:N34"/>
    <mergeCell ref="N3:R3"/>
    <mergeCell ref="T28:T34"/>
    <mergeCell ref="O28:O36"/>
    <mergeCell ref="K35:K36"/>
    <mergeCell ref="M35:M36"/>
    <mergeCell ref="N35:N36"/>
    <mergeCell ref="T19:T20"/>
    <mergeCell ref="R24:R27"/>
    <mergeCell ref="T24:T27"/>
    <mergeCell ref="T8:T9"/>
    <mergeCell ref="T13:T14"/>
    <mergeCell ref="N5:N7"/>
    <mergeCell ref="S5:S7"/>
    <mergeCell ref="P29:P31"/>
    <mergeCell ref="K8:K9"/>
    <mergeCell ref="M8:M9"/>
  </mergeCells>
  <conditionalFormatting sqref="C5:C36">
    <cfRule type="containsText" dxfId="27" priority="4" operator="containsText" text="No">
      <formula>NOT(ISERROR(SEARCH("No",C5)))</formula>
    </cfRule>
  </conditionalFormatting>
  <conditionalFormatting sqref="O5:O36">
    <cfRule type="containsText" dxfId="23" priority="17" operator="containsText" text="High Risk">
      <formula>NOT(ISERROR(SEARCH("High Risk",O5)))</formula>
    </cfRule>
    <cfRule type="containsText" dxfId="22" priority="18" operator="containsText" text="Medium Risk">
      <formula>NOT(ISERROR(SEARCH("Medium Risk",O5)))</formula>
    </cfRule>
    <cfRule type="containsText" dxfId="21" priority="19" operator="containsText" text="Low Risk">
      <formula>NOT(ISERROR(SEARCH("Low Risk",O5)))</formula>
    </cfRule>
  </conditionalFormatting>
  <conditionalFormatting sqref="T5:T36">
    <cfRule type="expression" dxfId="20" priority="8">
      <formula>OR(N5="Low",N5="N/A",N5="No answer given")</formula>
    </cfRule>
  </conditionalFormatting>
  <dataValidations count="6">
    <dataValidation type="list" allowBlank="1" showInputMessage="1" showErrorMessage="1" sqref="H37 H23:H26 H16 H5:H7 H19:H21 H14 H29:H34" xr:uid="{1C8A03D6-6AA0-44C8-BFC2-BEDBB9B2F404}">
      <formula1>$U$10:$U$12</formula1>
    </dataValidation>
    <dataValidation type="list" allowBlank="1" showInputMessage="1" showErrorMessage="1" sqref="H28" xr:uid="{1EA4A4C8-E0FB-4435-AC85-146068148377}">
      <formula1>"A,B,C,D,E,F"</formula1>
    </dataValidation>
    <dataValidation type="list" allowBlank="1" showInputMessage="1" showErrorMessage="1" sqref="H35 H12:H13 H15 H17:H18" xr:uid="{BAF35D0A-4E63-4BF2-8E68-8FAE79531AFB}">
      <formula1>$U$5:$U$9</formula1>
    </dataValidation>
    <dataValidation type="list" allowBlank="1" showInputMessage="1" showErrorMessage="1" sqref="H22" xr:uid="{CF9AA8F2-0FC6-4203-B179-5840E4F11528}">
      <formula1>$V$10:$V$13</formula1>
    </dataValidation>
    <dataValidation type="list" allowBlank="1" showInputMessage="1" showErrorMessage="1" sqref="H9 H36" xr:uid="{F134BE3C-38F9-4F61-A895-1B99166AF140}">
      <formula1>$U$5:$U$7</formula1>
    </dataValidation>
    <dataValidation type="list" allowBlank="1" showInputMessage="1" showErrorMessage="1" sqref="H8 H10:H11 H27" xr:uid="{DB3921A5-E041-4AC3-BBF0-011D10D6E01F}">
      <formula1>$U$5:$U$8</formula1>
    </dataValidation>
  </dataValidations>
  <hyperlinks>
    <hyperlink ref="S9" r:id="rId1" xr:uid="{A7991373-3EA8-4A9B-9645-077D244F7A6E}"/>
    <hyperlink ref="S10" r:id="rId2" xr:uid="{45DDDF0D-9748-458F-ACB2-3FED6DCB6212}"/>
    <hyperlink ref="S11" r:id="rId3" display="https://www.protectedplanet.net/en/thematic-areas/wdpa?tab=WDPA" xr:uid="{E6C8A357-7600-49F1-A3AB-694569B12CC8}"/>
    <hyperlink ref="S12" r:id="rId4" xr:uid="{534A2375-C81E-4418-A667-C0E74978885C}"/>
    <hyperlink ref="S13" r:id="rId5" xr:uid="{B65FFA0C-8861-4133-A8AA-2174B5DB8BEE}"/>
    <hyperlink ref="S20" r:id="rId6" xr:uid="{0300A109-80E4-4DB9-8E47-94A93073B944}"/>
    <hyperlink ref="S24" r:id="rId7" display="https://ourworldindata.org/child-labor" xr:uid="{C2596CB8-A567-403F-A593-4361CAF38141}"/>
    <hyperlink ref="S28" r:id="rId8" xr:uid="{102DBD3D-8EE1-4C8D-9D6E-FFA886B7791F}"/>
    <hyperlink ref="S36" r:id="rId9" location="/ranks" xr:uid="{2B4FB4C5-8D57-4AE1-95E2-33E6D1FE6999}"/>
  </hyperlinks>
  <pageMargins left="0.7" right="0.7" top="0.75" bottom="0.75" header="0.3" footer="0.3"/>
  <pageSetup paperSize="9" orientation="portrait"/>
  <colBreaks count="1" manualBreakCount="1">
    <brk id="20" max="1048575" man="1"/>
  </colBreaks>
  <drawing r:id="rId10"/>
  <extLst>
    <ext xmlns:x14="http://schemas.microsoft.com/office/spreadsheetml/2009/9/main" uri="{78C0D931-6437-407d-A8EE-F0AAD7539E65}">
      <x14:conditionalFormattings>
        <x14:conditionalFormatting xmlns:xm="http://schemas.microsoft.com/office/excel/2006/main">
          <x14:cfRule type="containsText" priority="1" operator="containsText" id="{AB84698C-E8E1-4D3E-B6EA-3CF19A7509D6}">
            <xm:f>NOT(ISERROR(SEARCH("Low",N5)))</xm:f>
            <xm:f>"Low"</xm:f>
            <x14:dxf>
              <font>
                <b/>
                <i val="0"/>
                <color theme="1"/>
              </font>
              <fill>
                <patternFill>
                  <bgColor theme="9" tint="0.79998168889431442"/>
                </patternFill>
              </fill>
            </x14:dxf>
          </x14:cfRule>
          <x14:cfRule type="containsText" priority="2" operator="containsText" id="{98FC0FA3-FD0A-470D-B8A4-3F8BFE0D57A5}">
            <xm:f>NOT(ISERROR(SEARCH("High",N5)))</xm:f>
            <xm:f>"High"</xm:f>
            <x14:dxf>
              <font>
                <b/>
                <i val="0"/>
                <color theme="0"/>
              </font>
              <fill>
                <patternFill>
                  <bgColor rgb="FFFF0000"/>
                </patternFill>
              </fill>
            </x14:dxf>
          </x14:cfRule>
          <x14:cfRule type="containsText" priority="3" operator="containsText" id="{2D7EE25B-8B83-4FF0-945A-94387C79F6D8}">
            <xm:f>NOT(ISERROR(SEARCH("Medium",N5)))</xm:f>
            <xm:f>"Medium"</xm:f>
            <x14:dxf>
              <font>
                <b/>
                <i val="0"/>
                <color theme="1"/>
              </font>
              <fill>
                <patternFill>
                  <bgColor theme="7" tint="0.79998168889431442"/>
                </patternFill>
              </fill>
            </x14:dxf>
          </x14:cfRule>
          <xm:sqref>N5:N36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051C7-3138-46D3-BE54-4ED099B2D55F}">
  <sheetPr>
    <tabColor rgb="FF007D5C"/>
  </sheetPr>
  <dimension ref="A1:P82"/>
  <sheetViews>
    <sheetView showGridLines="0" topLeftCell="A35" zoomScale="40" zoomScaleNormal="40" workbookViewId="0">
      <selection activeCell="F54" sqref="F54:H70"/>
    </sheetView>
  </sheetViews>
  <sheetFormatPr defaultRowHeight="15" x14ac:dyDescent="0.25"/>
  <cols>
    <col min="1" max="1" width="23.42578125" customWidth="1"/>
    <col min="2" max="2" width="17.42578125" customWidth="1"/>
    <col min="3" max="3" width="66.140625" customWidth="1"/>
    <col min="4" max="4" width="21" customWidth="1"/>
    <col min="5" max="5" width="19.140625" hidden="1" customWidth="1"/>
    <col min="6" max="6" width="58.140625" customWidth="1"/>
    <col min="7" max="7" width="61.42578125" customWidth="1"/>
    <col min="8" max="8" width="54.140625" customWidth="1"/>
    <col min="9" max="9" width="18.85546875" hidden="1" customWidth="1"/>
    <col min="10" max="11" width="15.85546875" hidden="1" customWidth="1"/>
    <col min="12" max="13" width="15.7109375" hidden="1" customWidth="1"/>
    <col min="14" max="14" width="23.140625" customWidth="1"/>
    <col min="15" max="15" width="21.42578125" customWidth="1"/>
  </cols>
  <sheetData>
    <row r="1" spans="1:16" ht="93" customHeight="1" x14ac:dyDescent="0.25">
      <c r="A1" s="746" t="s">
        <v>631</v>
      </c>
      <c r="B1" s="746"/>
      <c r="C1" s="746"/>
      <c r="D1" s="746"/>
      <c r="E1" s="746"/>
      <c r="F1" s="746"/>
      <c r="G1" s="746"/>
      <c r="H1" s="746"/>
      <c r="I1" s="746"/>
      <c r="J1" s="746"/>
      <c r="K1" s="746"/>
      <c r="L1" s="746"/>
      <c r="M1" s="746"/>
      <c r="N1" s="746"/>
      <c r="O1" s="746"/>
      <c r="P1" s="746"/>
    </row>
    <row r="2" spans="1:16" ht="27.95" customHeight="1" x14ac:dyDescent="0.4">
      <c r="A2" s="67"/>
      <c r="B2" s="154" t="s">
        <v>413</v>
      </c>
      <c r="C2" s="182"/>
      <c r="D2" s="826" t="s">
        <v>244</v>
      </c>
      <c r="E2" s="826"/>
      <c r="F2" s="825">
        <f>Overview!D16</f>
        <v>0</v>
      </c>
      <c r="G2" s="825">
        <f>Overview!D17</f>
        <v>0</v>
      </c>
      <c r="H2" s="67"/>
      <c r="I2" s="67"/>
      <c r="J2" s="67"/>
      <c r="K2" s="67"/>
      <c r="L2" s="67"/>
      <c r="M2" s="67"/>
      <c r="N2" s="67"/>
      <c r="O2" s="67"/>
      <c r="P2" s="67"/>
    </row>
    <row r="3" spans="1:16" ht="22.5" customHeight="1" x14ac:dyDescent="0.25">
      <c r="A3" s="67"/>
      <c r="B3" s="151"/>
      <c r="C3" s="183" t="s">
        <v>414</v>
      </c>
      <c r="D3" s="826"/>
      <c r="E3" s="826"/>
      <c r="F3" s="825"/>
      <c r="G3" s="825"/>
      <c r="H3" s="67"/>
      <c r="I3" s="67"/>
      <c r="J3" s="67"/>
      <c r="K3" s="67"/>
      <c r="L3" s="67"/>
      <c r="M3" s="67"/>
      <c r="N3" s="67"/>
      <c r="O3" s="67"/>
      <c r="P3" s="67"/>
    </row>
    <row r="4" spans="1:16" ht="25.5" customHeight="1" x14ac:dyDescent="0.25">
      <c r="A4" s="67"/>
      <c r="B4" s="152"/>
      <c r="C4" s="183" t="s">
        <v>415</v>
      </c>
      <c r="D4" s="826"/>
      <c r="E4" s="826"/>
      <c r="F4" s="825"/>
      <c r="G4" s="825"/>
      <c r="H4" s="67"/>
      <c r="I4" s="67"/>
      <c r="J4" s="67"/>
      <c r="K4" s="67"/>
      <c r="L4" s="67"/>
      <c r="M4" s="67"/>
      <c r="N4" s="67"/>
      <c r="O4" s="67"/>
      <c r="P4" s="67"/>
    </row>
    <row r="5" spans="1:16" ht="27" customHeight="1" x14ac:dyDescent="0.25">
      <c r="A5" s="67"/>
      <c r="B5" s="153"/>
      <c r="C5" s="184" t="s">
        <v>416</v>
      </c>
      <c r="D5" s="826"/>
      <c r="E5" s="826"/>
      <c r="F5" s="825"/>
      <c r="G5" s="825"/>
      <c r="H5" s="67"/>
      <c r="I5" s="67"/>
      <c r="J5" s="67"/>
      <c r="K5" s="67"/>
      <c r="L5" s="67"/>
      <c r="M5" s="67"/>
      <c r="N5" s="67"/>
      <c r="O5" s="67"/>
      <c r="P5" s="67"/>
    </row>
    <row r="6" spans="1:16" ht="27" customHeight="1" x14ac:dyDescent="0.25">
      <c r="A6" s="67"/>
      <c r="B6" s="67"/>
      <c r="C6" s="67"/>
      <c r="D6" s="67"/>
      <c r="E6" s="67"/>
      <c r="F6" s="67"/>
      <c r="G6" s="67"/>
      <c r="H6" s="67"/>
      <c r="I6" s="67"/>
      <c r="J6" s="67"/>
      <c r="K6" s="67"/>
      <c r="L6" s="67"/>
      <c r="M6" s="67"/>
      <c r="N6" s="67"/>
      <c r="O6" s="67"/>
      <c r="P6" s="67"/>
    </row>
    <row r="7" spans="1:16" ht="27" customHeight="1" x14ac:dyDescent="0.3">
      <c r="A7" s="358"/>
      <c r="B7" s="358"/>
      <c r="C7" s="358"/>
      <c r="D7" s="359" t="s">
        <v>15</v>
      </c>
      <c r="E7" s="359" t="s">
        <v>489</v>
      </c>
      <c r="F7" s="735" t="s">
        <v>489</v>
      </c>
      <c r="G7" s="736"/>
      <c r="H7" s="358"/>
      <c r="I7" s="358"/>
      <c r="J7" s="358"/>
      <c r="K7" s="358"/>
      <c r="L7" s="358"/>
      <c r="M7" s="358"/>
      <c r="N7" s="358"/>
      <c r="O7" s="358"/>
      <c r="P7" s="67"/>
    </row>
    <row r="8" spans="1:16" ht="27" customHeight="1" x14ac:dyDescent="0.3">
      <c r="A8" s="358"/>
      <c r="B8" s="358"/>
      <c r="C8" s="360" t="s">
        <v>467</v>
      </c>
      <c r="D8" s="358"/>
      <c r="E8" s="358"/>
      <c r="F8" s="358"/>
      <c r="G8" s="358"/>
      <c r="H8" s="358"/>
      <c r="I8" s="358"/>
      <c r="J8" s="358"/>
      <c r="K8" s="358"/>
      <c r="L8" s="358"/>
      <c r="M8" s="358"/>
      <c r="N8" s="358"/>
      <c r="O8" s="358"/>
      <c r="P8" s="67"/>
    </row>
    <row r="9" spans="1:16" ht="27" customHeight="1" x14ac:dyDescent="0.3">
      <c r="A9" s="358"/>
      <c r="B9" s="358"/>
      <c r="C9" s="422" t="s">
        <v>529</v>
      </c>
      <c r="D9" s="361">
        <f>Overview!$F$27</f>
        <v>0</v>
      </c>
      <c r="E9" s="362"/>
      <c r="F9" s="737">
        <f>Overview!$G$27</f>
        <v>0</v>
      </c>
      <c r="G9" s="737"/>
      <c r="H9" s="358"/>
      <c r="I9" s="358"/>
      <c r="J9" s="358"/>
      <c r="K9" s="358"/>
      <c r="L9" s="358"/>
      <c r="M9" s="358"/>
      <c r="N9" s="358"/>
      <c r="O9" s="358"/>
      <c r="P9" s="67"/>
    </row>
    <row r="10" spans="1:16" ht="27" customHeight="1" x14ac:dyDescent="0.3">
      <c r="A10" s="358"/>
      <c r="B10" s="358"/>
      <c r="C10" s="422" t="s">
        <v>528</v>
      </c>
      <c r="D10" s="363">
        <f>Overview!$F$29</f>
        <v>0</v>
      </c>
      <c r="E10" s="364"/>
      <c r="F10" s="737">
        <f>Overview!$G$29</f>
        <v>0</v>
      </c>
      <c r="G10" s="737"/>
      <c r="H10" s="358"/>
      <c r="I10" s="358"/>
      <c r="J10" s="358"/>
      <c r="K10" s="358"/>
      <c r="L10" s="358"/>
      <c r="M10" s="358"/>
      <c r="N10" s="358"/>
      <c r="O10" s="358"/>
      <c r="P10" s="67"/>
    </row>
    <row r="11" spans="1:16" ht="27" customHeight="1" x14ac:dyDescent="0.3">
      <c r="A11" s="358"/>
      <c r="B11" s="358"/>
      <c r="C11" s="360" t="s">
        <v>468</v>
      </c>
      <c r="D11" s="361">
        <f>Overview!$F$32</f>
        <v>0</v>
      </c>
      <c r="E11" s="364"/>
      <c r="F11" s="737">
        <f>Overview!$G$32</f>
        <v>0</v>
      </c>
      <c r="G11" s="737"/>
      <c r="H11" s="358"/>
      <c r="I11" s="358"/>
      <c r="J11" s="358"/>
      <c r="K11" s="358"/>
      <c r="L11" s="358"/>
      <c r="M11" s="358"/>
      <c r="N11" s="358"/>
      <c r="O11" s="358"/>
      <c r="P11" s="67"/>
    </row>
    <row r="12" spans="1:16" ht="27" customHeight="1" x14ac:dyDescent="0.3">
      <c r="A12" s="358"/>
      <c r="B12" s="358"/>
      <c r="C12" s="360" t="s">
        <v>240</v>
      </c>
      <c r="D12" s="361">
        <f>Overview!$F$35</f>
        <v>0</v>
      </c>
      <c r="E12" s="364"/>
      <c r="F12" s="737">
        <f>Overview!$G$35</f>
        <v>0</v>
      </c>
      <c r="G12" s="737"/>
      <c r="H12" s="358"/>
      <c r="I12" s="358"/>
      <c r="J12" s="358"/>
      <c r="K12" s="358"/>
      <c r="L12" s="358"/>
      <c r="M12" s="358"/>
      <c r="N12" s="358"/>
      <c r="O12" s="358"/>
      <c r="P12" s="67"/>
    </row>
    <row r="13" spans="1:16" ht="27" customHeight="1" x14ac:dyDescent="0.3">
      <c r="A13" s="358"/>
      <c r="B13" s="358"/>
      <c r="C13" s="360" t="s">
        <v>466</v>
      </c>
      <c r="D13" s="361">
        <f>Overview!$F$38</f>
        <v>0</v>
      </c>
      <c r="E13" s="364"/>
      <c r="F13" s="737">
        <f>Overview!$G$38</f>
        <v>0</v>
      </c>
      <c r="G13" s="737"/>
      <c r="H13" s="358"/>
      <c r="I13" s="358"/>
      <c r="J13" s="358"/>
      <c r="K13" s="358"/>
      <c r="L13" s="358"/>
      <c r="M13" s="358"/>
      <c r="N13" s="358"/>
      <c r="O13" s="358"/>
      <c r="P13" s="67"/>
    </row>
    <row r="14" spans="1:16" ht="27" customHeight="1" x14ac:dyDescent="0.3">
      <c r="A14" s="358"/>
      <c r="B14" s="358"/>
      <c r="C14" s="360" t="s">
        <v>241</v>
      </c>
      <c r="D14" s="361">
        <f>Overview!$F$41</f>
        <v>0</v>
      </c>
      <c r="E14" s="364"/>
      <c r="F14" s="737">
        <f>Overview!$G$41</f>
        <v>0</v>
      </c>
      <c r="G14" s="737"/>
      <c r="H14" s="358"/>
      <c r="I14" s="358"/>
      <c r="J14" s="358"/>
      <c r="K14" s="358"/>
      <c r="L14" s="358"/>
      <c r="M14" s="358"/>
      <c r="N14" s="358"/>
      <c r="O14" s="358"/>
      <c r="P14" s="67"/>
    </row>
    <row r="15" spans="1:16" ht="27" customHeight="1" x14ac:dyDescent="0.3">
      <c r="A15" s="358"/>
      <c r="B15" s="358"/>
      <c r="C15" s="358"/>
      <c r="D15" s="358"/>
      <c r="E15" s="358"/>
      <c r="F15" s="358"/>
      <c r="G15" s="358"/>
      <c r="H15" s="358"/>
      <c r="I15" s="358"/>
      <c r="J15" s="358"/>
      <c r="K15" s="358"/>
      <c r="L15" s="358"/>
      <c r="M15" s="358"/>
      <c r="N15" s="358"/>
      <c r="O15" s="358"/>
      <c r="P15" s="67"/>
    </row>
    <row r="16" spans="1:16" ht="64.5" customHeight="1" x14ac:dyDescent="0.3">
      <c r="A16" s="358"/>
      <c r="B16" s="358"/>
      <c r="C16" s="358"/>
      <c r="D16" s="358"/>
      <c r="E16" s="358"/>
      <c r="F16" s="820" t="s">
        <v>442</v>
      </c>
      <c r="G16" s="821"/>
      <c r="H16" s="822"/>
      <c r="I16" s="358"/>
      <c r="J16" s="358"/>
      <c r="K16" s="358"/>
      <c r="L16" s="358"/>
      <c r="M16" s="358"/>
      <c r="N16" s="358"/>
      <c r="O16" s="358"/>
      <c r="P16" s="67"/>
    </row>
    <row r="17" spans="1:16" ht="83.25" customHeight="1" x14ac:dyDescent="0.25">
      <c r="A17" s="359" t="s">
        <v>277</v>
      </c>
      <c r="B17" s="359" t="s">
        <v>396</v>
      </c>
      <c r="C17" s="359" t="s">
        <v>278</v>
      </c>
      <c r="D17" s="359" t="s">
        <v>395</v>
      </c>
      <c r="E17" s="359" t="s">
        <v>165</v>
      </c>
      <c r="F17" s="359" t="s">
        <v>417</v>
      </c>
      <c r="G17" s="359" t="s">
        <v>418</v>
      </c>
      <c r="H17" s="359" t="s">
        <v>419</v>
      </c>
      <c r="I17" s="359" t="s">
        <v>420</v>
      </c>
      <c r="J17" s="359" t="s">
        <v>393</v>
      </c>
      <c r="K17" s="359" t="s">
        <v>421</v>
      </c>
      <c r="L17" s="359" t="s">
        <v>422</v>
      </c>
      <c r="M17" s="359" t="s">
        <v>423</v>
      </c>
      <c r="N17" s="359" t="s">
        <v>424</v>
      </c>
      <c r="O17" s="359" t="s">
        <v>425</v>
      </c>
      <c r="P17" s="67"/>
    </row>
    <row r="18" spans="1:16" ht="97.5" customHeight="1" x14ac:dyDescent="0.25">
      <c r="A18" s="721" t="s">
        <v>286</v>
      </c>
      <c r="B18" s="698" t="str">
        <f>VLOOKUP(A18,'3 - Detailed Assessment (Opt 1)'!$A$5:$O$36,15,0)</f>
        <v>No answer given</v>
      </c>
      <c r="C18" s="365" t="str">
        <f>Matrix!C4</f>
        <v>Greenhouse gas (GHG) emissions from biomass production, transportation and storage (upstream)</v>
      </c>
      <c r="D18" s="425" t="str">
        <f>VLOOKUP($C18,'3 - Detailed Assessment (Opt 1)'!$B$5:$N$36,13,0)</f>
        <v>No answer given</v>
      </c>
      <c r="E18" s="363" t="s">
        <v>168</v>
      </c>
      <c r="F18" s="424"/>
      <c r="G18" s="424"/>
      <c r="H18" s="424"/>
      <c r="I18" s="367">
        <f>VLOOKUP($C18,'3 - Detailed Assessment (Opt 1)'!$B$5:$N$36,10,0)</f>
        <v>0</v>
      </c>
      <c r="J18" s="367">
        <f>VLOOKUP($C18,'3 - Detailed Assessment (Opt 1)'!$B$5:$N$36,12,0)</f>
        <v>0</v>
      </c>
      <c r="K18" s="698">
        <f>SUM(J18:J20)</f>
        <v>0</v>
      </c>
      <c r="L18" s="363">
        <f>VLOOKUP(F18,Lists!$C$43:$D$82,2,0)+VLOOKUP(G18,Lists!$C$43:$D$82,2,0)+VLOOKUP(H18,Lists!$C$43:$D$82,2,0)</f>
        <v>0</v>
      </c>
      <c r="M18" s="363">
        <f>IF((I18-L18)&lt;0,0,I18-L18)</f>
        <v>0</v>
      </c>
      <c r="N18" s="367" t="str">
        <f>IF(D18="No answer given","No answer given",IF(D18&lt;&gt;"N/A",IF((I18-L18)&lt;=(J18/3),"Low",IF((I18-L18)&gt;(J18*2/3),"High","Medium")),"N/A"))</f>
        <v>No answer given</v>
      </c>
      <c r="O18" s="698" t="str" cm="1">
        <f t="array" ref="O18">IF(COUNTIF(D18:D20,"No answer given")&gt;0,"No answer given",IF((D20="High")+ OR(N20="High",AND(L20&lt;&gt;0,F2=Lists!$G$13,(AND(ISNUMBER((SEARCH("FSC",F20:H20)))=FALSE))))=2,"High Risk",IF(SUM(M18:M20)&lt;=K18/3,"Low Risk",IF(SUM(M18:M20)&gt;K18*2/3,"High Risk","Medium Risk"))))</f>
        <v>No answer given</v>
      </c>
      <c r="P18" s="67"/>
    </row>
    <row r="19" spans="1:16" ht="79.5" customHeight="1" x14ac:dyDescent="0.25">
      <c r="A19" s="722"/>
      <c r="B19" s="713"/>
      <c r="C19" s="365" t="str">
        <f>Matrix!C5</f>
        <v>GHG emissions from biomass utilization (combustion)</v>
      </c>
      <c r="D19" s="425" t="str">
        <f>VLOOKUP($C19,'3 - Detailed Assessment (Opt 1)'!$B$5:$N$36,13,0)</f>
        <v>No answer given</v>
      </c>
      <c r="E19" s="363" t="s">
        <v>173</v>
      </c>
      <c r="F19" s="424"/>
      <c r="G19" s="424"/>
      <c r="H19" s="424"/>
      <c r="I19" s="367">
        <f>VLOOKUP($C19,'3 - Detailed Assessment (Opt 1)'!$B$5:$N$36,10,0)</f>
        <v>0</v>
      </c>
      <c r="J19" s="367">
        <f>VLOOKUP($C19,'3 - Detailed Assessment (Opt 1)'!$B$5:$N$36,12,0)</f>
        <v>0</v>
      </c>
      <c r="K19" s="713"/>
      <c r="L19" s="363">
        <f>VLOOKUP(F19,Lists!$C$43:$D$82,2,0)+VLOOKUP(G19,Lists!$C$43:$D$82,2,0)+VLOOKUP(H19,Lists!$C$43:$D$82,2,0)</f>
        <v>0</v>
      </c>
      <c r="M19" s="363">
        <f t="shared" ref="M19:M34" si="0">IF((I19-L19)&lt;0,0,I19-L19)</f>
        <v>0</v>
      </c>
      <c r="N19" s="367" t="str">
        <f>IF(D19="No answer given","No answer given",IF(D19&lt;&gt;"N/A",IF((I19-L19)&lt;=(J19/3),"Low",IF((I19-L19)&gt;(J19*2/3),"High","Medium")),"N/A"))</f>
        <v>No answer given</v>
      </c>
      <c r="O19" s="713"/>
      <c r="P19" s="67"/>
    </row>
    <row r="20" spans="1:16" ht="107.25" customHeight="1" x14ac:dyDescent="0.25">
      <c r="A20" s="723"/>
      <c r="B20" s="699"/>
      <c r="C20" s="365" t="str">
        <f>Matrix!C6</f>
        <v>Impact on carbon sinks (such as deforestation)</v>
      </c>
      <c r="D20" s="425" t="str">
        <f>VLOOKUP($C20,'3 - Detailed Assessment (Opt 1)'!$B$5:$N$36,13,0)</f>
        <v>No answer given</v>
      </c>
      <c r="E20" s="363" t="s">
        <v>177</v>
      </c>
      <c r="F20" s="424"/>
      <c r="G20" s="424"/>
      <c r="H20" s="424"/>
      <c r="I20" s="367">
        <f>VLOOKUP($C20,'3 - Detailed Assessment (Opt 1)'!$B$5:$N$36,10,0)</f>
        <v>0</v>
      </c>
      <c r="J20" s="367">
        <f>VLOOKUP($C20,'3 - Detailed Assessment (Opt 1)'!$B$5:$N$36,12,0)</f>
        <v>0</v>
      </c>
      <c r="K20" s="699"/>
      <c r="L20" s="363">
        <f>VLOOKUP(F20,Lists!$C$43:$D$82,2,0)+VLOOKUP(G20,Lists!$C$43:$D$82,2,0)+VLOOKUP(H20,Lists!$C$43:$D$82,2,0)</f>
        <v>0</v>
      </c>
      <c r="M20" s="363">
        <f t="shared" si="0"/>
        <v>0</v>
      </c>
      <c r="N20" s="367" t="str" cm="1">
        <f t="array" ref="N20">IF(D20="No answer given","No answer given",IF(D20="N/A","N/A",IF(AND(D20="High",F2=Lists!$G$13,(AND(ISNUMBER(SEARCH("FSC",F20:H20))=FALSE))),"High",IF((I20-L20)&lt;=(J20/3),"Low",IF((I20-L20)&gt;(J20*2/3),"High","Medium")))))</f>
        <v>No answer given</v>
      </c>
      <c r="O20" s="699"/>
      <c r="P20" s="67"/>
    </row>
    <row r="21" spans="1:16" ht="115.5" customHeight="1" x14ac:dyDescent="0.25">
      <c r="A21" s="724" t="s">
        <v>437</v>
      </c>
      <c r="B21" s="698" t="str">
        <f>VLOOKUP(A21,'3 - Detailed Assessment (Opt 1)'!$A$5:$O$36,15,0)</f>
        <v>No answer given</v>
      </c>
      <c r="C21" s="369" t="str">
        <f>Matrix!C7</f>
        <v>Loss of natural habitats causing loss of biodiversity (such as deforestation) from land-use change (LUC) and indirect land-use change (ILUC)</v>
      </c>
      <c r="D21" s="425" t="str">
        <f>VLOOKUP($C21,'3 - Detailed Assessment (Opt 1)'!$B$5:$N$36,13,0)</f>
        <v>No answer given</v>
      </c>
      <c r="E21" s="363" t="s">
        <v>180</v>
      </c>
      <c r="F21" s="424"/>
      <c r="G21" s="424"/>
      <c r="H21" s="424"/>
      <c r="I21" s="367">
        <f>VLOOKUP($C21,'3 - Detailed Assessment (Opt 1)'!$B$5:$N$36,10,0)</f>
        <v>0</v>
      </c>
      <c r="J21" s="367">
        <f>VLOOKUP($C21,'3 - Detailed Assessment (Opt 1)'!$B$5:$N$36,12,0)</f>
        <v>0</v>
      </c>
      <c r="K21" s="698">
        <f>SUM(J21:J24)</f>
        <v>0</v>
      </c>
      <c r="L21" s="363">
        <f>VLOOKUP(F21,Lists!$C$43:$D$82,2,0)+VLOOKUP(G21,Lists!$C$43:$D$82,2,0)+VLOOKUP(H21,Lists!$C$43:$D$82,2,0)</f>
        <v>0</v>
      </c>
      <c r="M21" s="363">
        <f t="shared" si="0"/>
        <v>0</v>
      </c>
      <c r="N21" s="367" t="str" cm="1">
        <f t="array" ref="N21">IF(D21="No answer given","No answer given",IF(D21="N/A","N/A",IF(AND(D21="High",F2=Lists!$G$13,(AND(ISNUMBER(SEARCH("FSC",F21:H21))=FALSE))),"High",IF((I21-L21)&lt;=(J21/3),"Low",IF((I21-L21)&gt;(J21*2/3),"High","Medium")))))</f>
        <v>No answer given</v>
      </c>
      <c r="O21" s="698" t="str" cm="1">
        <f t="array" ref="O21">IF(COUNTIF(D21:D24,"No answer given")&gt;0,"No answer given",IF((D21="High")+ OR(N21="High",AND(L21&lt;&gt;0,F2=Lists!$G$13,(AND(ISNUMBER((SEARCH("FSC",F21:H21)))=FALSE))))=2,"High Risk",IF(SUM(M21:M24)&lt;=K21/3,"Low Risk",IF(SUM(M21:M24)&gt;K21*2/3,"High Risk","Medium Risk"))))</f>
        <v>No answer given</v>
      </c>
      <c r="P21" s="67"/>
    </row>
    <row r="22" spans="1:16" ht="107.25" customHeight="1" x14ac:dyDescent="0.25">
      <c r="A22" s="725"/>
      <c r="B22" s="713"/>
      <c r="C22" s="369" t="str">
        <f>Matrix!C8</f>
        <v>Loss of biodiversity due to increased use of chemicals (pesticides, herbicides, etc.)</v>
      </c>
      <c r="D22" s="425" t="str">
        <f>VLOOKUP($C22,'3 - Detailed Assessment (Opt 1)'!$B$5:$N$36,13,0)</f>
        <v>No answer given</v>
      </c>
      <c r="E22" s="363" t="s">
        <v>183</v>
      </c>
      <c r="F22" s="424"/>
      <c r="G22" s="424"/>
      <c r="H22" s="424"/>
      <c r="I22" s="367">
        <f>VLOOKUP($C22,'3 - Detailed Assessment (Opt 1)'!$B$5:$N$36,10,0)</f>
        <v>0</v>
      </c>
      <c r="J22" s="367">
        <f>VLOOKUP($C22,'3 - Detailed Assessment (Opt 1)'!$B$5:$N$36,12,0)</f>
        <v>0</v>
      </c>
      <c r="K22" s="713"/>
      <c r="L22" s="363">
        <f>VLOOKUP(F22,Lists!$C$43:$D$82,2,0)+VLOOKUP(G22,Lists!$C$43:$D$82,2,0)+VLOOKUP(H22,Lists!$C$43:$D$82,2,0)</f>
        <v>0</v>
      </c>
      <c r="M22" s="363">
        <f t="shared" si="0"/>
        <v>0</v>
      </c>
      <c r="N22" s="367" t="str">
        <f>IF(D22="No answer given","No answer given",IF(D22&lt;&gt;"N/A",IF((I22-L22)&lt;=(J22/3),"Low",IF((I22-L22)&gt;(J22*2/3),"High","Medium")),"N/A"))</f>
        <v>No answer given</v>
      </c>
      <c r="O22" s="713"/>
      <c r="P22" s="67"/>
    </row>
    <row r="23" spans="1:16" ht="107.25" customHeight="1" x14ac:dyDescent="0.25">
      <c r="A23" s="725"/>
      <c r="B23" s="713"/>
      <c r="C23" s="369" t="str">
        <f>Matrix!C9</f>
        <v>Water consumption for biomass production</v>
      </c>
      <c r="D23" s="425" t="str">
        <f>VLOOKUP($C23,'3 - Detailed Assessment (Opt 1)'!$B$5:$N$36,13,0)</f>
        <v>No answer given</v>
      </c>
      <c r="E23" s="363" t="s">
        <v>190</v>
      </c>
      <c r="F23" s="424"/>
      <c r="G23" s="424"/>
      <c r="H23" s="424"/>
      <c r="I23" s="367">
        <f>VLOOKUP($C23,'3 - Detailed Assessment (Opt 1)'!$B$5:$N$36,10,0)</f>
        <v>0</v>
      </c>
      <c r="J23" s="367">
        <f>VLOOKUP($C23,'3 - Detailed Assessment (Opt 1)'!$B$5:$N$36,12,0)</f>
        <v>0</v>
      </c>
      <c r="K23" s="713"/>
      <c r="L23" s="363">
        <f>VLOOKUP(F23,Lists!$C$43:$D$82,2,0)+VLOOKUP(G23,Lists!$C$43:$D$82,2,0)+VLOOKUP(H23,Lists!$C$43:$D$82,2,0)</f>
        <v>0</v>
      </c>
      <c r="M23" s="363">
        <f t="shared" si="0"/>
        <v>0</v>
      </c>
      <c r="N23" s="367" t="str">
        <f t="shared" ref="N23:N34" si="1">IF(D23="No answer given","No answer given",IF(D23&lt;&gt;"N/A",IF((I23-L23)&lt;=(J23/3),"Low",IF((I23-L23)&gt;(J23*2/3),"High","Medium")),"N/A"))</f>
        <v>No answer given</v>
      </c>
      <c r="O23" s="713"/>
      <c r="P23" s="67"/>
    </row>
    <row r="24" spans="1:16" ht="105" customHeight="1" x14ac:dyDescent="0.25">
      <c r="A24" s="725"/>
      <c r="B24" s="699"/>
      <c r="C24" s="369" t="str">
        <f>Matrix!C10</f>
        <v>Water &amp; soil contamination</v>
      </c>
      <c r="D24" s="425" t="str">
        <f>VLOOKUP($C24,'3 - Detailed Assessment (Opt 1)'!$B$5:$N$36,13,0)</f>
        <v>No answer given</v>
      </c>
      <c r="E24" s="363" t="s">
        <v>196</v>
      </c>
      <c r="F24" s="424"/>
      <c r="G24" s="424"/>
      <c r="H24" s="424"/>
      <c r="I24" s="367">
        <f>VLOOKUP($C24,'3 - Detailed Assessment (Opt 1)'!$B$5:$N$36,10,0)</f>
        <v>0</v>
      </c>
      <c r="J24" s="367">
        <f>VLOOKUP($C24,'3 - Detailed Assessment (Opt 1)'!$B$5:$N$36,12,0)</f>
        <v>0</v>
      </c>
      <c r="K24" s="699"/>
      <c r="L24" s="363">
        <f>VLOOKUP(F24,Lists!$C$43:$D$82,2,0)+VLOOKUP(G24,Lists!$C$43:$D$82,2,0)+VLOOKUP(H24,Lists!$C$43:$D$82,2,0)</f>
        <v>0</v>
      </c>
      <c r="M24" s="363">
        <f t="shared" si="0"/>
        <v>0</v>
      </c>
      <c r="N24" s="367" t="str">
        <f t="shared" si="1"/>
        <v>No answer given</v>
      </c>
      <c r="O24" s="699"/>
      <c r="P24" s="67"/>
    </row>
    <row r="25" spans="1:16" ht="150.75" customHeight="1" x14ac:dyDescent="0.25">
      <c r="A25" s="811" t="s">
        <v>271</v>
      </c>
      <c r="B25" s="698" t="str">
        <f>VLOOKUP(A25,'3 - Detailed Assessment (Opt 1)'!$A$5:$O$36,15,0)</f>
        <v>No answer given</v>
      </c>
      <c r="C25" s="370" t="str">
        <f>Matrix!C11</f>
        <v>Open field burning of agricultural waste and wildfires</v>
      </c>
      <c r="D25" s="425" t="str">
        <f>VLOOKUP($C25,'3 - Detailed Assessment (Opt 1)'!$B$5:$N$36,13,0)</f>
        <v>No answer given</v>
      </c>
      <c r="E25" s="363" t="s">
        <v>203</v>
      </c>
      <c r="F25" s="424"/>
      <c r="G25" s="424"/>
      <c r="H25" s="424"/>
      <c r="I25" s="367">
        <f>VLOOKUP($C25,'3 - Detailed Assessment (Opt 1)'!$B$5:$N$36,10,0)</f>
        <v>0</v>
      </c>
      <c r="J25" s="367">
        <f>VLOOKUP($C25,'3 - Detailed Assessment (Opt 1)'!$B$5:$N$36,12,0)</f>
        <v>0</v>
      </c>
      <c r="K25" s="698">
        <f>SUM(J25:J27)</f>
        <v>0</v>
      </c>
      <c r="L25" s="363">
        <f>VLOOKUP(F25,Lists!$C$43:$D$82,2,0)+VLOOKUP(G25,Lists!$C$43:$D$82,2,0)+VLOOKUP(H25,Lists!$C$43:$D$82,2,0)</f>
        <v>0</v>
      </c>
      <c r="M25" s="363">
        <f t="shared" si="0"/>
        <v>0</v>
      </c>
      <c r="N25" s="367" t="str">
        <f t="shared" si="1"/>
        <v>No answer given</v>
      </c>
      <c r="O25" s="698" t="str">
        <f>IF(COUNTIF(D25:D27,"No answer given")&gt;0,"No answer given",IF(SUM(M25:M27)&lt;=K25/3,"Low Risk",IF(SUM(M25:M27)&gt;K25*2/3,"High Risk","Medium Risk")))</f>
        <v>No answer given</v>
      </c>
      <c r="P25" s="67"/>
    </row>
    <row r="26" spans="1:16" ht="102.75" customHeight="1" x14ac:dyDescent="0.25">
      <c r="A26" s="812"/>
      <c r="B26" s="713"/>
      <c r="C26" s="370" t="str">
        <f>Matrix!C12</f>
        <v>Air contaminants emissions during production processes</v>
      </c>
      <c r="D26" s="425" t="str">
        <f>VLOOKUP($C26,'3 - Detailed Assessment (Opt 1)'!$B$5:$N$36,13,0)</f>
        <v>No answer given</v>
      </c>
      <c r="E26" s="363" t="s">
        <v>205</v>
      </c>
      <c r="F26" s="424"/>
      <c r="G26" s="424"/>
      <c r="H26" s="424"/>
      <c r="I26" s="367">
        <f>VLOOKUP($C26,'3 - Detailed Assessment (Opt 1)'!$B$5:$N$36,10,0)</f>
        <v>0</v>
      </c>
      <c r="J26" s="367">
        <f>VLOOKUP($C26,'3 - Detailed Assessment (Opt 1)'!$B$5:$N$36,12,0)</f>
        <v>0</v>
      </c>
      <c r="K26" s="713"/>
      <c r="L26" s="363">
        <f>VLOOKUP(F26,Lists!$C$43:$D$82,2,0)+VLOOKUP(G26,Lists!$C$43:$D$82,2,0)+VLOOKUP(H26,Lists!$C$43:$D$82,2,0)</f>
        <v>0</v>
      </c>
      <c r="M26" s="363">
        <f t="shared" si="0"/>
        <v>0</v>
      </c>
      <c r="N26" s="367" t="str">
        <f t="shared" si="1"/>
        <v>No answer given</v>
      </c>
      <c r="O26" s="713"/>
      <c r="P26" s="67"/>
    </row>
    <row r="27" spans="1:16" ht="111" customHeight="1" x14ac:dyDescent="0.25">
      <c r="A27" s="813"/>
      <c r="B27" s="699"/>
      <c r="C27" s="370" t="str">
        <f>Matrix!C13</f>
        <v>Air contaminants emissions from biomass combustion</v>
      </c>
      <c r="D27" s="425" t="str">
        <f>VLOOKUP($C27,'3 - Detailed Assessment (Opt 1)'!$B$5:$N$36,13,0)</f>
        <v>No answer given</v>
      </c>
      <c r="E27" s="363" t="s">
        <v>208</v>
      </c>
      <c r="F27" s="424"/>
      <c r="G27" s="424"/>
      <c r="H27" s="424"/>
      <c r="I27" s="367">
        <f>VLOOKUP($C27,'3 - Detailed Assessment (Opt 1)'!$B$5:$N$36,10,0)</f>
        <v>0</v>
      </c>
      <c r="J27" s="367">
        <f>VLOOKUP($C27,'3 - Detailed Assessment (Opt 1)'!$B$5:$N$36,12,0)</f>
        <v>0</v>
      </c>
      <c r="K27" s="699"/>
      <c r="L27" s="363">
        <f>VLOOKUP(F27,Lists!$C$43:$D$82,2,0)+VLOOKUP(G27,Lists!$C$43:$D$82,2,0)+VLOOKUP(H27,Lists!$C$43:$D$82,2,0)</f>
        <v>0</v>
      </c>
      <c r="M27" s="363">
        <f t="shared" si="0"/>
        <v>0</v>
      </c>
      <c r="N27" s="367" t="str">
        <f t="shared" si="1"/>
        <v>No answer given</v>
      </c>
      <c r="O27" s="699"/>
      <c r="P27" s="67"/>
    </row>
    <row r="28" spans="1:16" ht="138" customHeight="1" x14ac:dyDescent="0.25">
      <c r="A28" s="718" t="s">
        <v>406</v>
      </c>
      <c r="B28" s="698" t="str">
        <f>VLOOKUP(A28,'3 - Detailed Assessment (Opt 1)'!$A$5:$O$36,15,0)</f>
        <v>No answer given</v>
      </c>
      <c r="C28" s="371" t="str">
        <f>Matrix!C14</f>
        <v>Land rights</v>
      </c>
      <c r="D28" s="425" t="str">
        <f>VLOOKUP($C28,'3 - Detailed Assessment (Opt 1)'!$B$5:$N$36,13,0)</f>
        <v>No answer given</v>
      </c>
      <c r="E28" s="372" t="s">
        <v>211</v>
      </c>
      <c r="F28" s="424"/>
      <c r="G28" s="424"/>
      <c r="H28" s="424"/>
      <c r="I28" s="367">
        <f>VLOOKUP($C28,'3 - Detailed Assessment (Opt 1)'!$B$5:$N$36,10,0)</f>
        <v>0</v>
      </c>
      <c r="J28" s="367">
        <f>VLOOKUP($C28,'3 - Detailed Assessment (Opt 1)'!$B$5:$N$36,12,0)</f>
        <v>0</v>
      </c>
      <c r="K28" s="698">
        <f>SUM(J28:J32)</f>
        <v>2</v>
      </c>
      <c r="L28" s="363">
        <f>VLOOKUP(F28,Lists!$C$43:$D$82,2,0)+VLOOKUP(G28,Lists!$C$43:$D$82,2,0)+VLOOKUP(H28,Lists!$C$43:$D$82,2,0)</f>
        <v>0</v>
      </c>
      <c r="M28" s="363">
        <f t="shared" si="0"/>
        <v>0</v>
      </c>
      <c r="N28" s="367" t="str">
        <f t="shared" si="1"/>
        <v>No answer given</v>
      </c>
      <c r="O28" s="698" t="str">
        <f>IF(COUNTIF(D28:D32,"No answer given")&gt;0,"No answer given",IF(AND(D32="High",N32="High"),"High Risk",IF(SUM(M28:M32)&lt;=K28/3,"Low Risk",IF(SUM(M28:M32)&gt;K28*2/3,"High Risk","Medium Risk"))))</f>
        <v>No answer given</v>
      </c>
      <c r="P28" s="67"/>
    </row>
    <row r="29" spans="1:16" ht="125.25" customHeight="1" x14ac:dyDescent="0.25">
      <c r="A29" s="719"/>
      <c r="B29" s="713"/>
      <c r="C29" s="371" t="str">
        <f>Matrix!C15</f>
        <v>Community health and safety</v>
      </c>
      <c r="D29" s="425" t="str">
        <f>VLOOKUP($C29,'3 - Detailed Assessment (Opt 1)'!$B$5:$N$36,13,0)</f>
        <v>No answer given</v>
      </c>
      <c r="E29" s="372" t="s">
        <v>214</v>
      </c>
      <c r="F29" s="424"/>
      <c r="G29" s="424"/>
      <c r="H29" s="424"/>
      <c r="I29" s="367">
        <f>VLOOKUP($C29,'3 - Detailed Assessment (Opt 1)'!$B$5:$N$36,10,0)</f>
        <v>0</v>
      </c>
      <c r="J29" s="367">
        <f>VLOOKUP($C29,'3 - Detailed Assessment (Opt 1)'!$B$5:$N$36,12,0)</f>
        <v>2</v>
      </c>
      <c r="K29" s="713"/>
      <c r="L29" s="363">
        <f>VLOOKUP(F29,Lists!$C$43:$D$82,2,0)+VLOOKUP(G29,Lists!$C$43:$D$82,2,0)+VLOOKUP(H29,Lists!$C$43:$D$82,2,0)</f>
        <v>0</v>
      </c>
      <c r="M29" s="363">
        <f>IF((AVERAGE(M24:M27)-L29)&lt;0,0,AVERAGE(M24:M27)-L29)</f>
        <v>0</v>
      </c>
      <c r="N29" s="367" t="str">
        <f>IF(D29="No answer given","No answer given",IF(D29&lt;&gt;"N/A",IF(M29&lt;=(J29/3),"Low",IF(M29&gt;(J29*2/3),"High","Medium")),"N/A"))</f>
        <v>No answer given</v>
      </c>
      <c r="O29" s="713"/>
      <c r="P29" s="67"/>
    </row>
    <row r="30" spans="1:16" ht="109.5" customHeight="1" x14ac:dyDescent="0.25">
      <c r="A30" s="719"/>
      <c r="B30" s="713"/>
      <c r="C30" s="371" t="str">
        <f>Matrix!C16</f>
        <v>Decent remuneration and compensation for workers</v>
      </c>
      <c r="D30" s="425" t="str">
        <f>VLOOKUP($C30,'3 - Detailed Assessment (Opt 1)'!$B$5:$N$36,13,0)</f>
        <v>No answer given</v>
      </c>
      <c r="E30" s="372" t="s">
        <v>215</v>
      </c>
      <c r="F30" s="424"/>
      <c r="G30" s="424"/>
      <c r="H30" s="424"/>
      <c r="I30" s="367">
        <f>VLOOKUP($C30,'3 - Detailed Assessment (Opt 1)'!$B$5:$N$36,10,0)</f>
        <v>0</v>
      </c>
      <c r="J30" s="367">
        <f>VLOOKUP($C30,'3 - Detailed Assessment (Opt 1)'!$B$5:$N$36,12,0)</f>
        <v>0</v>
      </c>
      <c r="K30" s="713"/>
      <c r="L30" s="363">
        <f>VLOOKUP(F30,Lists!$C$43:$D$82,2,0)+VLOOKUP(G30,Lists!$C$43:$D$82,2,0)+VLOOKUP(H30,Lists!$C$43:$D$82,2,0)</f>
        <v>0</v>
      </c>
      <c r="M30" s="363">
        <f t="shared" si="0"/>
        <v>0</v>
      </c>
      <c r="N30" s="367" t="str">
        <f t="shared" si="1"/>
        <v>No answer given</v>
      </c>
      <c r="O30" s="713"/>
      <c r="P30" s="67"/>
    </row>
    <row r="31" spans="1:16" ht="148.5" customHeight="1" x14ac:dyDescent="0.25">
      <c r="A31" s="719"/>
      <c r="B31" s="713"/>
      <c r="C31" s="371" t="str">
        <f>Matrix!C17</f>
        <v>Occupational health and safety</v>
      </c>
      <c r="D31" s="425" t="str">
        <f>VLOOKUP($C31,'3 - Detailed Assessment (Opt 1)'!$B$5:$N$36,13,0)</f>
        <v>No answer given</v>
      </c>
      <c r="E31" s="372" t="s">
        <v>217</v>
      </c>
      <c r="F31" s="424"/>
      <c r="G31" s="424"/>
      <c r="H31" s="424"/>
      <c r="I31" s="367">
        <f>VLOOKUP($C31,'3 - Detailed Assessment (Opt 1)'!$B$5:$N$36,10,0)</f>
        <v>0</v>
      </c>
      <c r="J31" s="367">
        <f>VLOOKUP($C31,'3 - Detailed Assessment (Opt 1)'!$B$5:$N$36,12,0)</f>
        <v>0</v>
      </c>
      <c r="K31" s="713"/>
      <c r="L31" s="363">
        <f>VLOOKUP(F31,Lists!$C$43:$D$82,2,0)+VLOOKUP(G31,Lists!$C$43:$D$82,2,0)+VLOOKUP(H31,Lists!$C$43:$D$82,2,0)</f>
        <v>0</v>
      </c>
      <c r="M31" s="363">
        <f t="shared" si="0"/>
        <v>0</v>
      </c>
      <c r="N31" s="367" t="str">
        <f t="shared" si="1"/>
        <v>No answer given</v>
      </c>
      <c r="O31" s="713"/>
      <c r="P31" s="67"/>
    </row>
    <row r="32" spans="1:16" ht="159.75" customHeight="1" x14ac:dyDescent="0.25">
      <c r="A32" s="720"/>
      <c r="B32" s="699"/>
      <c r="C32" s="371" t="str">
        <f>Matrix!C18</f>
        <v xml:space="preserve">Human rights, child labor and slavery </v>
      </c>
      <c r="D32" s="425" t="str">
        <f>VLOOKUP($C32,'3 - Detailed Assessment (Opt 1)'!$B$5:$N$36,13,0)</f>
        <v>No answer given</v>
      </c>
      <c r="E32" s="372" t="s">
        <v>218</v>
      </c>
      <c r="F32" s="424"/>
      <c r="G32" s="424"/>
      <c r="H32" s="424"/>
      <c r="I32" s="367">
        <f>VLOOKUP($C32,'3 - Detailed Assessment (Opt 1)'!$B$5:$N$36,10,0)</f>
        <v>0</v>
      </c>
      <c r="J32" s="367">
        <f>VLOOKUP($C32,'3 - Detailed Assessment (Opt 1)'!$B$5:$N$36,12,0)</f>
        <v>0</v>
      </c>
      <c r="K32" s="699"/>
      <c r="L32" s="363">
        <f>VLOOKUP(F32,Lists!$C$43:$D$82,2,0)+VLOOKUP(G32,Lists!$C$43:$D$82,2,0)+VLOOKUP(H32,Lists!$C$43:$D$82,2,0)</f>
        <v>0</v>
      </c>
      <c r="M32" s="363">
        <f t="shared" si="0"/>
        <v>0</v>
      </c>
      <c r="N32" s="367" t="str">
        <f t="shared" si="1"/>
        <v>No answer given</v>
      </c>
      <c r="O32" s="699"/>
      <c r="P32" s="67"/>
    </row>
    <row r="33" spans="1:16" ht="87.75" customHeight="1" x14ac:dyDescent="0.25">
      <c r="A33" s="697" t="s">
        <v>409</v>
      </c>
      <c r="B33" s="698" t="str">
        <f>VLOOKUP(A33,'3 - Detailed Assessment (Opt 1)'!$A$5:$O$36,15,0)</f>
        <v>No answer given</v>
      </c>
      <c r="C33" s="373" t="str">
        <f>Matrix!C19</f>
        <v>Impact on food availability and price</v>
      </c>
      <c r="D33" s="425" t="str">
        <f>VLOOKUP($C33,'3 - Detailed Assessment (Opt 1)'!$B$5:$N$36,13,0)</f>
        <v>No answer given</v>
      </c>
      <c r="E33" s="372" t="s">
        <v>219</v>
      </c>
      <c r="F33" s="424"/>
      <c r="G33" s="424"/>
      <c r="H33" s="424"/>
      <c r="I33" s="367">
        <f>VLOOKUP($C33,'3 - Detailed Assessment (Opt 1)'!$B$5:$N$36,10,0)</f>
        <v>0</v>
      </c>
      <c r="J33" s="367">
        <f>VLOOKUP($C33,'3 - Detailed Assessment (Opt 1)'!$B$5:$N$36,12,0)</f>
        <v>0</v>
      </c>
      <c r="K33" s="698">
        <f>SUM(J33:J34)</f>
        <v>0</v>
      </c>
      <c r="L33" s="363">
        <f>VLOOKUP(F33,Lists!$C$43:$D$82,2,0)+VLOOKUP(G33,Lists!$C$43:$D$82,2,0)+VLOOKUP(H33,Lists!$C$43:$D$82,2,0)</f>
        <v>0</v>
      </c>
      <c r="M33" s="363">
        <f t="shared" si="0"/>
        <v>0</v>
      </c>
      <c r="N33" s="367" t="str">
        <f t="shared" si="1"/>
        <v>No answer given</v>
      </c>
      <c r="O33" s="698" t="str">
        <f>IF(COUNTIF(D33:D34,"No answer given")&gt;0,"No answer given",IF(AND(D33="High",N33="High"),"High Risk",IF(SUM(M33:M34)&lt;=K33/3,"Low Risk",IF(SUM(M33:M34)&gt;K33*2/3,"High Risk","Medium Risk"))))</f>
        <v>No answer given</v>
      </c>
      <c r="P33" s="67"/>
    </row>
    <row r="34" spans="1:16" ht="136.5" customHeight="1" x14ac:dyDescent="0.25">
      <c r="A34" s="697"/>
      <c r="B34" s="699"/>
      <c r="C34" s="373" t="str">
        <f>Matrix!C20</f>
        <v>Increased and equitable share of revenues &amp; employment opportunities for local communities development</v>
      </c>
      <c r="D34" s="425" t="str">
        <f>VLOOKUP($C34,'3 - Detailed Assessment (Opt 1)'!$B$5:$N$36,13,0)</f>
        <v>No answer given</v>
      </c>
      <c r="E34" s="372" t="s">
        <v>223</v>
      </c>
      <c r="F34" s="424"/>
      <c r="G34" s="424"/>
      <c r="H34" s="424"/>
      <c r="I34" s="367">
        <f>VLOOKUP($C34,'3 - Detailed Assessment (Opt 1)'!$B$5:$N$36,10,0)</f>
        <v>0</v>
      </c>
      <c r="J34" s="367">
        <f>VLOOKUP($C34,'3 - Detailed Assessment (Opt 1)'!$B$5:$N$36,12,0)</f>
        <v>0</v>
      </c>
      <c r="K34" s="699"/>
      <c r="L34" s="363">
        <f>VLOOKUP(F34,Lists!$C$43:$D$82,2,0)+VLOOKUP(G34,Lists!$C$43:$D$82,2,0)+VLOOKUP(H34,Lists!$C$43:$D$82,2,0)</f>
        <v>0</v>
      </c>
      <c r="M34" s="374">
        <f t="shared" si="0"/>
        <v>0</v>
      </c>
      <c r="N34" s="367" t="str">
        <f t="shared" si="1"/>
        <v>No answer given</v>
      </c>
      <c r="O34" s="715"/>
      <c r="P34" s="67"/>
    </row>
    <row r="35" spans="1:16" ht="137.25" customHeight="1" x14ac:dyDescent="0.25">
      <c r="A35" s="375" t="s">
        <v>426</v>
      </c>
      <c r="B35" s="815" t="str">
        <f>IF(COUNTIF(B18:B34,"No answer given")&gt;0,"No answer given",IF(COUNTIF(B18:B34,"High Risk")&gt;0,"Unacceptable without mitigation measures",IF(COUNTIF(D18:D34,"High")&gt;0,"May be acceptable but should implement Mitigation measures",IF(COUNTIF(D18:D29,"Medium")= 0,"Acceptable","Acceptable with mitigation measures"))))</f>
        <v>No answer given</v>
      </c>
      <c r="C35" s="816"/>
      <c r="D35" s="817"/>
      <c r="E35" s="363"/>
      <c r="F35" s="818"/>
      <c r="G35" s="819"/>
      <c r="H35" s="819"/>
      <c r="I35" s="819"/>
      <c r="J35" s="819"/>
      <c r="K35" s="819"/>
      <c r="L35" s="814" t="str">
        <f>IF(F2=Lists!$C$16,"Unacceptable as per criteria set by the Sustainable Biomass Guidelines",IF(COUNTIF(O18:O34,"No answer given")&gt;0,"No answer given",IF(B35="Acceptable","Acceptable",IF(OR(COUNTIF(O18:O34,"High Risk")&gt;0,AND(F2=Lists!$D$13,N33="Medium")),"Unacceptable",IF((COUNTIF(N18:N34,"Medium")+COUNTIF(N18:N34,"High"))&gt;0,"May be acceptable upon implementation of the selected mitigation measures and further ones to cover High/Medium Risk indicators","Acceptable upon implementation of the selected mitigation measures")))))</f>
        <v>No answer given</v>
      </c>
      <c r="M35" s="814"/>
      <c r="N35" s="814"/>
      <c r="O35" s="814"/>
      <c r="P35" s="67"/>
    </row>
    <row r="36" spans="1:16" ht="20.25" x14ac:dyDescent="0.3">
      <c r="A36" s="358"/>
      <c r="B36" s="358"/>
      <c r="C36" s="358"/>
      <c r="D36" s="358"/>
      <c r="E36" s="358"/>
      <c r="F36" s="358"/>
      <c r="G36" s="358"/>
      <c r="H36" s="358"/>
      <c r="I36" s="358"/>
      <c r="J36" s="358"/>
      <c r="K36" s="358"/>
      <c r="L36" s="358"/>
      <c r="M36" s="358"/>
      <c r="N36" s="358"/>
      <c r="O36" s="358"/>
      <c r="P36" s="67"/>
    </row>
    <row r="37" spans="1:16" ht="20.25" x14ac:dyDescent="0.3">
      <c r="A37" s="358"/>
      <c r="B37" s="358"/>
      <c r="C37" s="358"/>
      <c r="D37" s="358"/>
      <c r="E37" s="358"/>
      <c r="F37" s="358"/>
      <c r="G37" s="358"/>
      <c r="H37" s="358"/>
      <c r="I37" s="358"/>
      <c r="J37" s="358"/>
      <c r="K37" s="358"/>
      <c r="L37" s="358"/>
      <c r="M37" s="358"/>
      <c r="N37" s="358"/>
      <c r="O37" s="358"/>
      <c r="P37" s="67"/>
    </row>
    <row r="38" spans="1:16" ht="9.9499999999999993" customHeight="1" x14ac:dyDescent="0.3">
      <c r="A38" s="358"/>
      <c r="B38" s="358"/>
      <c r="C38" s="358"/>
      <c r="D38" s="358"/>
      <c r="E38" s="358"/>
      <c r="F38" s="358"/>
      <c r="G38" s="358"/>
      <c r="H38" s="358"/>
      <c r="I38" s="358"/>
      <c r="J38" s="358"/>
      <c r="K38" s="358"/>
      <c r="L38" s="358"/>
      <c r="M38" s="358"/>
      <c r="N38" s="358"/>
      <c r="O38" s="358"/>
      <c r="P38" s="67"/>
    </row>
    <row r="39" spans="1:16" ht="20.25" hidden="1" x14ac:dyDescent="0.3">
      <c r="A39" s="358"/>
      <c r="B39" s="358"/>
      <c r="C39" s="358"/>
      <c r="D39" s="358"/>
      <c r="E39" s="358"/>
      <c r="F39" s="358"/>
      <c r="G39" s="358"/>
      <c r="H39" s="358"/>
      <c r="I39" s="358"/>
      <c r="J39" s="358"/>
      <c r="K39" s="358"/>
      <c r="L39" s="358"/>
      <c r="M39" s="358"/>
      <c r="N39" s="358"/>
      <c r="O39" s="358"/>
      <c r="P39" s="67"/>
    </row>
    <row r="40" spans="1:16" ht="68.099999999999994" customHeight="1" x14ac:dyDescent="0.3">
      <c r="A40" s="358"/>
      <c r="B40" s="358"/>
      <c r="C40" s="358"/>
      <c r="D40" s="823" t="s">
        <v>245</v>
      </c>
      <c r="E40" s="824"/>
      <c r="F40" s="376">
        <f>Overview!E16</f>
        <v>0</v>
      </c>
      <c r="G40" s="377">
        <f>Overview!E17</f>
        <v>0</v>
      </c>
      <c r="H40" s="358"/>
      <c r="I40" s="358"/>
      <c r="J40" s="358"/>
      <c r="K40" s="358"/>
      <c r="L40" s="358"/>
      <c r="M40" s="358"/>
      <c r="N40" s="358"/>
      <c r="O40" s="358"/>
      <c r="P40" s="67"/>
    </row>
    <row r="41" spans="1:16" ht="14.45" customHeight="1" x14ac:dyDescent="0.3">
      <c r="A41" s="358"/>
      <c r="B41" s="358"/>
      <c r="C41" s="358"/>
      <c r="D41" s="358"/>
      <c r="E41" s="358"/>
      <c r="F41" s="358"/>
      <c r="G41" s="358"/>
      <c r="H41" s="358"/>
      <c r="I41" s="358"/>
      <c r="J41" s="358"/>
      <c r="K41" s="358"/>
      <c r="L41" s="358"/>
      <c r="M41" s="358"/>
      <c r="N41" s="358"/>
      <c r="O41" s="358"/>
      <c r="P41" s="67"/>
    </row>
    <row r="42" spans="1:16" ht="14.45" customHeight="1" x14ac:dyDescent="0.3">
      <c r="A42" s="358"/>
      <c r="B42" s="358"/>
      <c r="C42" s="358"/>
      <c r="D42" s="358"/>
      <c r="E42" s="358"/>
      <c r="F42" s="358"/>
      <c r="G42" s="358"/>
      <c r="H42" s="358"/>
      <c r="I42" s="358"/>
      <c r="J42" s="358"/>
      <c r="K42" s="358"/>
      <c r="L42" s="358"/>
      <c r="M42" s="358"/>
      <c r="N42" s="358"/>
      <c r="O42" s="358"/>
      <c r="P42" s="67"/>
    </row>
    <row r="43" spans="1:16" ht="23.1" customHeight="1" x14ac:dyDescent="0.3">
      <c r="A43" s="358"/>
      <c r="B43" s="358"/>
      <c r="C43" s="358"/>
      <c r="D43" s="359" t="s">
        <v>15</v>
      </c>
      <c r="E43" s="359" t="s">
        <v>489</v>
      </c>
      <c r="F43" s="735" t="s">
        <v>489</v>
      </c>
      <c r="G43" s="736"/>
      <c r="H43" s="358"/>
      <c r="I43" s="358"/>
      <c r="J43" s="358"/>
      <c r="K43" s="358"/>
      <c r="L43" s="358"/>
      <c r="M43" s="358"/>
      <c r="N43" s="358"/>
      <c r="O43" s="358"/>
      <c r="P43" s="67"/>
    </row>
    <row r="44" spans="1:16" ht="23.1" customHeight="1" x14ac:dyDescent="0.3">
      <c r="A44" s="358"/>
      <c r="B44" s="358"/>
      <c r="C44" s="360" t="s">
        <v>467</v>
      </c>
      <c r="D44" s="358"/>
      <c r="E44" s="358"/>
      <c r="F44" s="358"/>
      <c r="G44" s="358"/>
      <c r="H44" s="358"/>
      <c r="I44" s="358"/>
      <c r="J44" s="358"/>
      <c r="K44" s="358"/>
      <c r="L44" s="358"/>
      <c r="M44" s="358"/>
      <c r="N44" s="358"/>
      <c r="O44" s="358"/>
      <c r="P44" s="67"/>
    </row>
    <row r="45" spans="1:16" ht="23.1" customHeight="1" x14ac:dyDescent="0.3">
      <c r="A45" s="358"/>
      <c r="B45" s="358"/>
      <c r="C45" s="422" t="s">
        <v>529</v>
      </c>
      <c r="D45" s="361">
        <f>Overview!$F$28</f>
        <v>0</v>
      </c>
      <c r="E45" s="362"/>
      <c r="F45" s="738">
        <f>Overview!$G$28</f>
        <v>0</v>
      </c>
      <c r="G45" s="739"/>
      <c r="H45" s="358"/>
      <c r="I45" s="358"/>
      <c r="J45" s="358"/>
      <c r="K45" s="358"/>
      <c r="L45" s="358"/>
      <c r="M45" s="358"/>
      <c r="N45" s="358"/>
      <c r="O45" s="358"/>
      <c r="P45" s="67"/>
    </row>
    <row r="46" spans="1:16" ht="23.1" customHeight="1" x14ac:dyDescent="0.3">
      <c r="A46" s="358"/>
      <c r="B46" s="358"/>
      <c r="C46" s="422" t="s">
        <v>528</v>
      </c>
      <c r="D46" s="361">
        <f>Overview!$F$30</f>
        <v>0</v>
      </c>
      <c r="E46" s="364"/>
      <c r="F46" s="738">
        <f>Overview!$G$30</f>
        <v>0</v>
      </c>
      <c r="G46" s="739"/>
      <c r="H46" s="358"/>
      <c r="I46" s="358"/>
      <c r="J46" s="358"/>
      <c r="K46" s="358"/>
      <c r="L46" s="358"/>
      <c r="M46" s="358"/>
      <c r="N46" s="358"/>
      <c r="O46" s="358"/>
      <c r="P46" s="67"/>
    </row>
    <row r="47" spans="1:16" ht="23.1" customHeight="1" x14ac:dyDescent="0.3">
      <c r="A47" s="358"/>
      <c r="B47" s="358"/>
      <c r="C47" s="360" t="s">
        <v>468</v>
      </c>
      <c r="D47" s="361">
        <f>Overview!$F$33</f>
        <v>0</v>
      </c>
      <c r="E47" s="364"/>
      <c r="F47" s="738">
        <f>Overview!$G$33</f>
        <v>0</v>
      </c>
      <c r="G47" s="739"/>
      <c r="H47" s="358"/>
      <c r="I47" s="358"/>
      <c r="J47" s="358"/>
      <c r="K47" s="358"/>
      <c r="L47" s="358"/>
      <c r="M47" s="358"/>
      <c r="N47" s="358"/>
      <c r="O47" s="358"/>
      <c r="P47" s="67"/>
    </row>
    <row r="48" spans="1:16" ht="23.1" customHeight="1" x14ac:dyDescent="0.3">
      <c r="A48" s="358"/>
      <c r="B48" s="358"/>
      <c r="C48" s="360" t="s">
        <v>240</v>
      </c>
      <c r="D48" s="361">
        <f>Overview!$F$36</f>
        <v>0</v>
      </c>
      <c r="E48" s="364"/>
      <c r="F48" s="738">
        <f>Overview!$G$36</f>
        <v>0</v>
      </c>
      <c r="G48" s="739"/>
      <c r="H48" s="358"/>
      <c r="I48" s="358"/>
      <c r="J48" s="358"/>
      <c r="K48" s="358"/>
      <c r="L48" s="358"/>
      <c r="M48" s="358"/>
      <c r="N48" s="358"/>
      <c r="O48" s="358"/>
      <c r="P48" s="67"/>
    </row>
    <row r="49" spans="1:16" ht="23.1" customHeight="1" x14ac:dyDescent="0.3">
      <c r="A49" s="358"/>
      <c r="B49" s="358"/>
      <c r="C49" s="360" t="s">
        <v>466</v>
      </c>
      <c r="D49" s="361">
        <f>Overview!$F$39</f>
        <v>0</v>
      </c>
      <c r="E49" s="364"/>
      <c r="F49" s="738">
        <f>Overview!$G$39</f>
        <v>0</v>
      </c>
      <c r="G49" s="739"/>
      <c r="H49" s="358"/>
      <c r="I49" s="358"/>
      <c r="J49" s="358"/>
      <c r="K49" s="358"/>
      <c r="L49" s="358"/>
      <c r="M49" s="358"/>
      <c r="N49" s="358"/>
      <c r="O49" s="358"/>
      <c r="P49" s="67"/>
    </row>
    <row r="50" spans="1:16" ht="23.1" customHeight="1" x14ac:dyDescent="0.3">
      <c r="A50" s="358"/>
      <c r="B50" s="358"/>
      <c r="C50" s="360" t="s">
        <v>241</v>
      </c>
      <c r="D50" s="361">
        <f>Overview!$F$42</f>
        <v>0</v>
      </c>
      <c r="E50" s="364"/>
      <c r="F50" s="738">
        <f>Overview!$G$42</f>
        <v>0</v>
      </c>
      <c r="G50" s="739"/>
      <c r="H50" s="358"/>
      <c r="I50" s="358"/>
      <c r="J50" s="358"/>
      <c r="K50" s="358"/>
      <c r="L50" s="358"/>
      <c r="M50" s="358"/>
      <c r="N50" s="358"/>
      <c r="O50" s="358"/>
      <c r="P50" s="67"/>
    </row>
    <row r="51" spans="1:16" ht="27" customHeight="1" x14ac:dyDescent="0.3">
      <c r="A51" s="358"/>
      <c r="B51" s="358"/>
      <c r="C51" s="358"/>
      <c r="D51" s="358"/>
      <c r="E51" s="358"/>
      <c r="F51" s="358"/>
      <c r="G51" s="358"/>
      <c r="H51" s="358"/>
      <c r="I51" s="358"/>
      <c r="J51" s="358"/>
      <c r="K51" s="358"/>
      <c r="L51" s="358"/>
      <c r="M51" s="358"/>
      <c r="N51" s="358"/>
      <c r="O51" s="358"/>
      <c r="P51" s="67"/>
    </row>
    <row r="52" spans="1:16" ht="64.5" customHeight="1" x14ac:dyDescent="0.3">
      <c r="A52" s="358"/>
      <c r="B52" s="358"/>
      <c r="C52" s="358"/>
      <c r="D52" s="358"/>
      <c r="E52" s="358"/>
      <c r="F52" s="820" t="s">
        <v>442</v>
      </c>
      <c r="G52" s="821"/>
      <c r="H52" s="822"/>
      <c r="I52" s="358"/>
      <c r="J52" s="358"/>
      <c r="K52" s="358"/>
      <c r="L52" s="358"/>
      <c r="M52" s="358"/>
      <c r="N52" s="358"/>
      <c r="O52" s="358"/>
      <c r="P52" s="67"/>
    </row>
    <row r="53" spans="1:16" ht="85.5" customHeight="1" x14ac:dyDescent="0.25">
      <c r="A53" s="359" t="s">
        <v>277</v>
      </c>
      <c r="B53" s="359" t="s">
        <v>396</v>
      </c>
      <c r="C53" s="359" t="s">
        <v>278</v>
      </c>
      <c r="D53" s="359" t="s">
        <v>395</v>
      </c>
      <c r="E53" s="359" t="s">
        <v>165</v>
      </c>
      <c r="F53" s="359" t="s">
        <v>417</v>
      </c>
      <c r="G53" s="359" t="s">
        <v>418</v>
      </c>
      <c r="H53" s="359" t="s">
        <v>419</v>
      </c>
      <c r="I53" s="359" t="s">
        <v>420</v>
      </c>
      <c r="J53" s="359" t="s">
        <v>393</v>
      </c>
      <c r="K53" s="359" t="s">
        <v>421</v>
      </c>
      <c r="L53" s="359" t="s">
        <v>422</v>
      </c>
      <c r="M53" s="359" t="s">
        <v>423</v>
      </c>
      <c r="N53" s="359" t="s">
        <v>424</v>
      </c>
      <c r="O53" s="359" t="s">
        <v>425</v>
      </c>
      <c r="P53" s="67"/>
    </row>
    <row r="54" spans="1:16" ht="106.5" customHeight="1" x14ac:dyDescent="0.25">
      <c r="A54" s="721" t="s">
        <v>286</v>
      </c>
      <c r="B54" s="698" t="str">
        <f>VLOOKUP(A54,'3 - Detailed Assessment (Opt 2)'!$A$5:$O$36,15,0)</f>
        <v>No answer given</v>
      </c>
      <c r="C54" s="365" t="str">
        <f>Matrix!C4</f>
        <v>Greenhouse gas (GHG) emissions from biomass production, transportation and storage (upstream)</v>
      </c>
      <c r="D54" s="425" t="str">
        <f>VLOOKUP($C54,'3 - Detailed Assessment (Opt 2)'!$B$5:$N$36,13,0)</f>
        <v>No answer given</v>
      </c>
      <c r="E54" s="363" t="s">
        <v>168</v>
      </c>
      <c r="F54" s="366"/>
      <c r="G54" s="366"/>
      <c r="H54" s="366"/>
      <c r="I54" s="367">
        <f>VLOOKUP($C54,'3 - Detailed Assessment (Opt 2)'!$B$5:$N$36,10,0)</f>
        <v>0</v>
      </c>
      <c r="J54" s="367">
        <f>VLOOKUP($C54,'3 - Detailed Assessment (Opt 2)'!$B$5:$N$36,12,0)</f>
        <v>0</v>
      </c>
      <c r="K54" s="698">
        <f>SUM(J54:J56)</f>
        <v>0</v>
      </c>
      <c r="L54" s="363">
        <f>VLOOKUP(F54,Lists!$C$43:$D$82,2,0)+VLOOKUP(G54,Lists!$C$43:$D$82,2,0)+VLOOKUP(H54,Lists!$C$43:$D$82,2,0)</f>
        <v>0</v>
      </c>
      <c r="M54" s="363">
        <f>IF((I54-L54)&lt;0,0,I54-L54)</f>
        <v>0</v>
      </c>
      <c r="N54" s="367" t="str">
        <f>IF(D54="No answer given","No answer given",IF(D54&lt;&gt;"N/A",IF((I54-L54)&lt;=(J54/3),"Low",IF((I54-L54)&gt;(J54*2/3),"High","Medium")),"N/A"))</f>
        <v>No answer given</v>
      </c>
      <c r="O54" s="698" t="str" cm="1">
        <f t="array" ref="O54">IF(COUNTIF(D54:D56,"No answer given")&gt;0,"No answer given",IF((D56="High")+ OR(N56="High",AND(L56&lt;&gt;0,F40=Lists!$G$13,(AND(ISNUMBER((SEARCH("FSC",F56:H56)))=FALSE))))=2,"High Risk",IF(SUM(M54:M56)&lt;=K54/3,"Low Risk",IF(SUM(M54:M56)&gt;K54*2/3,"High Risk","Medium Risk"))))</f>
        <v>No answer given</v>
      </c>
      <c r="P54" s="67"/>
    </row>
    <row r="55" spans="1:16" ht="87.75" customHeight="1" x14ac:dyDescent="0.25">
      <c r="A55" s="722"/>
      <c r="B55" s="713"/>
      <c r="C55" s="365" t="str">
        <f>Matrix!C5</f>
        <v>GHG emissions from biomass utilization (combustion)</v>
      </c>
      <c r="D55" s="425" t="str">
        <f>VLOOKUP($C55,'3 - Detailed Assessment (Opt 2)'!$B$5:$N$36,13,0)</f>
        <v>No answer given</v>
      </c>
      <c r="E55" s="363" t="s">
        <v>173</v>
      </c>
      <c r="F55" s="366"/>
      <c r="G55" s="366"/>
      <c r="H55" s="366"/>
      <c r="I55" s="367">
        <f>VLOOKUP($C55,'3 - Detailed Assessment (Opt 2)'!$B$5:$N$36,10,0)</f>
        <v>0</v>
      </c>
      <c r="J55" s="367">
        <f>VLOOKUP($C55,'3 - Detailed Assessment (Opt 2)'!$B$5:$N$36,12,0)</f>
        <v>0</v>
      </c>
      <c r="K55" s="713"/>
      <c r="L55" s="363">
        <f>VLOOKUP(F55,Lists!$C$43:$D$82,2,0)+VLOOKUP(G55,Lists!$C$43:$D$82,2,0)+VLOOKUP(H55,Lists!$C$43:$D$82,2,0)</f>
        <v>0</v>
      </c>
      <c r="M55" s="363">
        <f t="shared" ref="M55:M70" si="2">IF((I55-L55)&lt;0,0,I55-L55)</f>
        <v>0</v>
      </c>
      <c r="N55" s="367" t="str">
        <f>IF(D55="No answer given","No answer given",IF(D55&lt;&gt;"N/A",IF((I55-L55)&lt;=(J55/3),"Low",IF((I55-L55)&gt;(J55*2/3),"High","Medium")),"N/A"))</f>
        <v>No answer given</v>
      </c>
      <c r="O55" s="713"/>
      <c r="P55" s="67"/>
    </row>
    <row r="56" spans="1:16" ht="105.75" customHeight="1" x14ac:dyDescent="0.25">
      <c r="A56" s="723"/>
      <c r="B56" s="699"/>
      <c r="C56" s="365" t="str">
        <f>Matrix!C6</f>
        <v>Impact on carbon sinks (such as deforestation)</v>
      </c>
      <c r="D56" s="425" t="str">
        <f>VLOOKUP($C56,'3 - Detailed Assessment (Opt 2)'!$B$5:$N$36,13,0)</f>
        <v>No answer given</v>
      </c>
      <c r="E56" s="363" t="s">
        <v>177</v>
      </c>
      <c r="F56" s="366"/>
      <c r="G56" s="366"/>
      <c r="H56" s="366"/>
      <c r="I56" s="367">
        <f>VLOOKUP($C56,'3 - Detailed Assessment (Opt 2)'!$B$5:$N$36,10,0)</f>
        <v>0</v>
      </c>
      <c r="J56" s="367">
        <f>VLOOKUP($C56,'3 - Detailed Assessment (Opt 2)'!$B$5:$N$36,12,0)</f>
        <v>0</v>
      </c>
      <c r="K56" s="699"/>
      <c r="L56" s="363">
        <f>VLOOKUP(F56,Lists!$C$43:$D$82,2,0)+VLOOKUP(G56,Lists!$C$43:$D$82,2,0)+VLOOKUP(H56,Lists!$C$43:$D$82,2,0)</f>
        <v>0</v>
      </c>
      <c r="M56" s="363">
        <f t="shared" si="2"/>
        <v>0</v>
      </c>
      <c r="N56" s="367" t="str" cm="1">
        <f t="array" ref="N56">IF(D56="No answer given","No answer given",IF(D56="N/A","N/A",IF(AND(D56="High",F40=Lists!$G$13,(AND(ISNUMBER(SEARCH("FSC",F56:H56))=FALSE))),"High",IF((I56-L56)&lt;=(J56/3),"Low",IF((I56-L56)&gt;(J56*2/3),"High","Medium")))))</f>
        <v>No answer given</v>
      </c>
      <c r="O56" s="699"/>
      <c r="P56" s="67"/>
    </row>
    <row r="57" spans="1:16" ht="124.5" customHeight="1" x14ac:dyDescent="0.25">
      <c r="A57" s="724" t="s">
        <v>437</v>
      </c>
      <c r="B57" s="698" t="str">
        <f>VLOOKUP(A57,'3 - Detailed Assessment (Opt 2)'!$A$5:$O$36,15,0)</f>
        <v>No answer given</v>
      </c>
      <c r="C57" s="322" t="str">
        <f>Matrix!C7</f>
        <v>Loss of natural habitats causing loss of biodiversity (such as deforestation) from land-use change (LUC) and indirect land-use change (ILUC)</v>
      </c>
      <c r="D57" s="425" t="str">
        <f>VLOOKUP($C57,'3 - Detailed Assessment (Opt 2)'!$B$5:$N$36,13,0)</f>
        <v>No answer given</v>
      </c>
      <c r="E57" s="363" t="s">
        <v>180</v>
      </c>
      <c r="F57" s="366"/>
      <c r="G57" s="366"/>
      <c r="H57" s="366"/>
      <c r="I57" s="367">
        <f>VLOOKUP($C57,'3 - Detailed Assessment (Opt 2)'!$B$5:$N$36,10,0)</f>
        <v>0</v>
      </c>
      <c r="J57" s="367">
        <f>VLOOKUP($C57,'3 - Detailed Assessment (Opt 2)'!$B$5:$N$36,12,0)</f>
        <v>0</v>
      </c>
      <c r="K57" s="698">
        <f>SUM(J57:J60)</f>
        <v>0</v>
      </c>
      <c r="L57" s="363">
        <f>VLOOKUP(F57,Lists!$C$43:$D$82,2,0)+VLOOKUP(G57,Lists!$C$43:$D$82,2,0)+VLOOKUP(H57,Lists!$C$43:$D$82,2,0)</f>
        <v>0</v>
      </c>
      <c r="M57" s="363">
        <f t="shared" si="2"/>
        <v>0</v>
      </c>
      <c r="N57" s="367" t="str" cm="1">
        <f t="array" ref="N57">IF(D57="No answer given","No answer given",IF(D57="N/A","N/A",IF(AND(D57="High",F40=Lists!$G$13,(AND(ISNUMBER(SEARCH("FSC",F57:H57))=FALSE))),"High",IF((I57-L57)&lt;=(J57/3),"Low",IF((I57-L57)&gt;(J57*2/3),"High","Medium")))))</f>
        <v>No answer given</v>
      </c>
      <c r="O57" s="698" t="str" cm="1">
        <f t="array" ref="O57">IF(COUNTIF(D57:D60,"No answer given")&gt;0,"No answer given",IF((D57="High")+ OR(N57="High",AND(L57&lt;&gt;0,F40=Lists!$G$13,(AND(ISNUMBER((SEARCH("FSC",F57:H57)))=FALSE))))=2,"High Risk",IF(SUM(M57:M60)&lt;=K57/3,"Low Risk",IF(SUM(M57:M60)&gt;K57*2/3,"High Risk","Medium Risk"))))</f>
        <v>No answer given</v>
      </c>
      <c r="P57" s="67"/>
    </row>
    <row r="58" spans="1:16" ht="108.75" customHeight="1" x14ac:dyDescent="0.25">
      <c r="A58" s="725"/>
      <c r="B58" s="713"/>
      <c r="C58" s="322" t="str">
        <f>Matrix!C8</f>
        <v>Loss of biodiversity due to increased use of chemicals (pesticides, herbicides, etc.)</v>
      </c>
      <c r="D58" s="425" t="str">
        <f>VLOOKUP($C58,'3 - Detailed Assessment (Opt 2)'!$B$5:$N$36,13,0)</f>
        <v>No answer given</v>
      </c>
      <c r="E58" s="363" t="s">
        <v>183</v>
      </c>
      <c r="F58" s="366"/>
      <c r="G58" s="366"/>
      <c r="H58" s="366"/>
      <c r="I58" s="367">
        <f>VLOOKUP($C58,'3 - Detailed Assessment (Opt 2)'!$B$5:$N$36,10,0)</f>
        <v>0</v>
      </c>
      <c r="J58" s="367">
        <f>VLOOKUP($C58,'3 - Detailed Assessment (Opt 2)'!$B$5:$N$36,12,0)</f>
        <v>0</v>
      </c>
      <c r="K58" s="713"/>
      <c r="L58" s="363">
        <f>VLOOKUP(F58,Lists!$C$43:$D$82,2,0)+VLOOKUP(G58,Lists!$C$43:$D$82,2,0)+VLOOKUP(H58,Lists!$C$43:$D$82,2,0)</f>
        <v>0</v>
      </c>
      <c r="M58" s="363">
        <f t="shared" si="2"/>
        <v>0</v>
      </c>
      <c r="N58" s="367" t="str">
        <f>IF(D58="No answer given","No answer given",IF(D58&lt;&gt;"N/A",IF((I58-L58)&lt;=(J58/3),"Low",IF((I58-L58)&gt;(J58*2/3),"High","Medium")),"N/A"))</f>
        <v>No answer given</v>
      </c>
      <c r="O58" s="713"/>
      <c r="P58" s="67"/>
    </row>
    <row r="59" spans="1:16" ht="124.5" customHeight="1" x14ac:dyDescent="0.25">
      <c r="A59" s="725"/>
      <c r="B59" s="713"/>
      <c r="C59" s="322" t="str">
        <f>Matrix!C9</f>
        <v>Water consumption for biomass production</v>
      </c>
      <c r="D59" s="425" t="str">
        <f>VLOOKUP($C59,'3 - Detailed Assessment (Opt 2)'!$B$5:$N$36,13,0)</f>
        <v>No answer given</v>
      </c>
      <c r="E59" s="363" t="s">
        <v>190</v>
      </c>
      <c r="F59" s="366"/>
      <c r="G59" s="366"/>
      <c r="H59" s="366"/>
      <c r="I59" s="367">
        <f>VLOOKUP($C59,'3 - Detailed Assessment (Opt 2)'!$B$5:$N$36,10,0)</f>
        <v>0</v>
      </c>
      <c r="J59" s="367">
        <f>VLOOKUP($C59,'3 - Detailed Assessment (Opt 2)'!$B$5:$N$36,12,0)</f>
        <v>0</v>
      </c>
      <c r="K59" s="713"/>
      <c r="L59" s="363">
        <f>VLOOKUP(F59,Lists!$C$43:$D$82,2,0)+VLOOKUP(G59,Lists!$C$43:$D$82,2,0)+VLOOKUP(H59,Lists!$C$43:$D$82,2,0)</f>
        <v>0</v>
      </c>
      <c r="M59" s="363">
        <f t="shared" si="2"/>
        <v>0</v>
      </c>
      <c r="N59" s="367" t="str">
        <f t="shared" ref="N59:N70" si="3">IF(D59="No answer given","No answer given",IF(D59&lt;&gt;"N/A",IF((I59-L59)&lt;=(J59/3),"Low",IF((I59-L59)&gt;(J59*2/3),"High","Medium")),"N/A"))</f>
        <v>No answer given</v>
      </c>
      <c r="O59" s="713"/>
      <c r="P59" s="67"/>
    </row>
    <row r="60" spans="1:16" ht="98.25" customHeight="1" x14ac:dyDescent="0.25">
      <c r="A60" s="725"/>
      <c r="B60" s="699"/>
      <c r="C60" s="322" t="str">
        <f>Matrix!C10</f>
        <v>Water &amp; soil contamination</v>
      </c>
      <c r="D60" s="425" t="str">
        <f>VLOOKUP($C60,'3 - Detailed Assessment (Opt 2)'!$B$5:$N$36,13,0)</f>
        <v>No answer given</v>
      </c>
      <c r="E60" s="363" t="s">
        <v>196</v>
      </c>
      <c r="F60" s="366"/>
      <c r="G60" s="366"/>
      <c r="H60" s="366"/>
      <c r="I60" s="367">
        <f>VLOOKUP($C60,'3 - Detailed Assessment (Opt 2)'!$B$5:$N$36,10,0)</f>
        <v>0</v>
      </c>
      <c r="J60" s="367">
        <f>VLOOKUP($C60,'3 - Detailed Assessment (Opt 2)'!$B$5:$N$36,12,0)</f>
        <v>0</v>
      </c>
      <c r="K60" s="699"/>
      <c r="L60" s="363">
        <f>VLOOKUP(F60,Lists!$C$43:$D$82,2,0)+VLOOKUP(G60,Lists!$C$43:$D$82,2,0)+VLOOKUP(H60,Lists!$C$43:$D$82,2,0)</f>
        <v>0</v>
      </c>
      <c r="M60" s="363">
        <f t="shared" si="2"/>
        <v>0</v>
      </c>
      <c r="N60" s="367" t="str">
        <f t="shared" si="3"/>
        <v>No answer given</v>
      </c>
      <c r="O60" s="699"/>
      <c r="P60" s="67"/>
    </row>
    <row r="61" spans="1:16" ht="147" customHeight="1" x14ac:dyDescent="0.25">
      <c r="A61" s="811" t="s">
        <v>271</v>
      </c>
      <c r="B61" s="698" t="str">
        <f>VLOOKUP(A61,'3 - Detailed Assessment (Opt 2)'!$A$5:$O$36,15,0)</f>
        <v>No answer given</v>
      </c>
      <c r="C61" s="292" t="str">
        <f>Matrix!C11</f>
        <v>Open field burning of agricultural waste and wildfires</v>
      </c>
      <c r="D61" s="425" t="str">
        <f>VLOOKUP($C61,'3 - Detailed Assessment (Opt 2)'!$B$5:$N$36,13,0)</f>
        <v>No answer given</v>
      </c>
      <c r="E61" s="363" t="s">
        <v>203</v>
      </c>
      <c r="F61" s="366"/>
      <c r="G61" s="366"/>
      <c r="H61" s="366"/>
      <c r="I61" s="367">
        <f>VLOOKUP($C61,'3 - Detailed Assessment (Opt 2)'!$B$5:$N$36,10,0)</f>
        <v>0</v>
      </c>
      <c r="J61" s="367">
        <f>VLOOKUP($C61,'3 - Detailed Assessment (Opt 2)'!$B$5:$N$36,12,0)</f>
        <v>0</v>
      </c>
      <c r="K61" s="698">
        <f>SUM(J61:J63)</f>
        <v>0</v>
      </c>
      <c r="L61" s="363">
        <f>VLOOKUP(F61,Lists!$C$43:$D$82,2,0)+VLOOKUP(G61,Lists!$C$43:$D$82,2,0)+VLOOKUP(H61,Lists!$C$43:$D$82,2,0)</f>
        <v>0</v>
      </c>
      <c r="M61" s="363">
        <f t="shared" si="2"/>
        <v>0</v>
      </c>
      <c r="N61" s="367" t="str">
        <f t="shared" si="3"/>
        <v>No answer given</v>
      </c>
      <c r="O61" s="698" t="str">
        <f>IF(COUNTIF(D61:D63,"No answer given")&gt;0,"No answer given",IF(SUM(M61:M63)&lt;=K61/3,"Low Risk",IF(SUM(M61:M63)&gt;K61*2/3,"High Risk","Medium Risk")))</f>
        <v>No answer given</v>
      </c>
      <c r="P61" s="67"/>
    </row>
    <row r="62" spans="1:16" ht="121.5" customHeight="1" x14ac:dyDescent="0.25">
      <c r="A62" s="812"/>
      <c r="B62" s="713"/>
      <c r="C62" s="292" t="str">
        <f>Matrix!C12</f>
        <v>Air contaminants emissions during production processes</v>
      </c>
      <c r="D62" s="425" t="str">
        <f>VLOOKUP($C62,'3 - Detailed Assessment (Opt 2)'!$B$5:$N$36,13,0)</f>
        <v>No answer given</v>
      </c>
      <c r="E62" s="363" t="s">
        <v>205</v>
      </c>
      <c r="F62" s="366"/>
      <c r="G62" s="366"/>
      <c r="H62" s="366"/>
      <c r="I62" s="367">
        <f>VLOOKUP($C62,'3 - Detailed Assessment (Opt 2)'!$B$5:$N$36,10,0)</f>
        <v>0</v>
      </c>
      <c r="J62" s="367">
        <f>VLOOKUP($C62,'3 - Detailed Assessment (Opt 2)'!$B$5:$N$36,12,0)</f>
        <v>0</v>
      </c>
      <c r="K62" s="713"/>
      <c r="L62" s="363">
        <f>VLOOKUP(F62,Lists!$C$43:$D$82,2,0)+VLOOKUP(G62,Lists!$C$43:$D$82,2,0)+VLOOKUP(H62,Lists!$C$43:$D$82,2,0)</f>
        <v>0</v>
      </c>
      <c r="M62" s="363">
        <f t="shared" si="2"/>
        <v>0</v>
      </c>
      <c r="N62" s="367" t="str">
        <f t="shared" si="3"/>
        <v>No answer given</v>
      </c>
      <c r="O62" s="713"/>
      <c r="P62" s="67"/>
    </row>
    <row r="63" spans="1:16" ht="93" customHeight="1" x14ac:dyDescent="0.25">
      <c r="A63" s="813"/>
      <c r="B63" s="699"/>
      <c r="C63" s="292" t="str">
        <f>Matrix!C13</f>
        <v>Air contaminants emissions from biomass combustion</v>
      </c>
      <c r="D63" s="425" t="str">
        <f>VLOOKUP($C63,'3 - Detailed Assessment (Opt 2)'!$B$5:$N$36,13,0)</f>
        <v>No answer given</v>
      </c>
      <c r="E63" s="363" t="s">
        <v>208</v>
      </c>
      <c r="F63" s="366"/>
      <c r="G63" s="366"/>
      <c r="H63" s="366"/>
      <c r="I63" s="367">
        <f>VLOOKUP($C63,'3 - Detailed Assessment (Opt 2)'!$B$5:$N$36,10,0)</f>
        <v>0</v>
      </c>
      <c r="J63" s="367">
        <f>VLOOKUP($C63,'3 - Detailed Assessment (Opt 2)'!$B$5:$N$36,12,0)</f>
        <v>0</v>
      </c>
      <c r="K63" s="699"/>
      <c r="L63" s="363">
        <f>VLOOKUP(F63,Lists!$C$43:$D$82,2,0)+VLOOKUP(G63,Lists!$C$43:$D$82,2,0)+VLOOKUP(H63,Lists!$C$43:$D$82,2,0)</f>
        <v>0</v>
      </c>
      <c r="M63" s="363">
        <f t="shared" si="2"/>
        <v>0</v>
      </c>
      <c r="N63" s="367" t="str">
        <f t="shared" si="3"/>
        <v>No answer given</v>
      </c>
      <c r="O63" s="699"/>
      <c r="P63" s="67"/>
    </row>
    <row r="64" spans="1:16" ht="138.75" customHeight="1" x14ac:dyDescent="0.25">
      <c r="A64" s="718" t="s">
        <v>406</v>
      </c>
      <c r="B64" s="698" t="str">
        <f>VLOOKUP(A64,'3 - Detailed Assessment (Opt 2)'!$A$5:$O$36,15,0)</f>
        <v>No answer given</v>
      </c>
      <c r="C64" s="323" t="str">
        <f>Matrix!C14</f>
        <v>Land rights</v>
      </c>
      <c r="D64" s="425" t="str">
        <f>VLOOKUP($C64,'3 - Detailed Assessment (Opt 2)'!$B$5:$N$36,13,0)</f>
        <v>No answer given</v>
      </c>
      <c r="E64" s="372" t="s">
        <v>211</v>
      </c>
      <c r="F64" s="366"/>
      <c r="G64" s="366"/>
      <c r="H64" s="366"/>
      <c r="I64" s="367">
        <f>VLOOKUP($C64,'3 - Detailed Assessment (Opt 2)'!$B$5:$N$36,10,0)</f>
        <v>0</v>
      </c>
      <c r="J64" s="367">
        <f>VLOOKUP($C64,'3 - Detailed Assessment (Opt 2)'!$B$5:$N$36,12,0)</f>
        <v>0</v>
      </c>
      <c r="K64" s="698">
        <f>SUM(J64:J68)</f>
        <v>2</v>
      </c>
      <c r="L64" s="363">
        <f>VLOOKUP(F64,Lists!$C$43:$D$82,2,0)+VLOOKUP(G64,Lists!$C$43:$D$82,2,0)+VLOOKUP(H64,Lists!$C$43:$D$82,2,0)</f>
        <v>0</v>
      </c>
      <c r="M64" s="363">
        <f t="shared" si="2"/>
        <v>0</v>
      </c>
      <c r="N64" s="367" t="str">
        <f t="shared" si="3"/>
        <v>No answer given</v>
      </c>
      <c r="O64" s="698" t="str">
        <f>IF(COUNTIF(D64:D68,"No answer given")&gt;0,"No answer given",IF(AND(D68="High",N68="High"),"High Risk",IF(SUM(M64:M68)&lt;=K64/3,"Low Risk",IF(SUM(M64:M68)&gt;K64*2/3,"High Risk","Medium Risk"))))</f>
        <v>No answer given</v>
      </c>
      <c r="P64" s="67"/>
    </row>
    <row r="65" spans="1:16" ht="113.25" customHeight="1" x14ac:dyDescent="0.25">
      <c r="A65" s="719"/>
      <c r="B65" s="713"/>
      <c r="C65" s="323" t="str">
        <f>Matrix!C15</f>
        <v>Community health and safety</v>
      </c>
      <c r="D65" s="425" t="str">
        <f>VLOOKUP($C65,'3 - Detailed Assessment (Opt 2)'!$B$5:$N$36,13,0)</f>
        <v>No answer given</v>
      </c>
      <c r="E65" s="372" t="s">
        <v>214</v>
      </c>
      <c r="F65" s="366"/>
      <c r="G65" s="366"/>
      <c r="H65" s="366"/>
      <c r="I65" s="367">
        <f>VLOOKUP($C65,'3 - Detailed Assessment (Opt 2)'!$B$5:$N$36,10,0)</f>
        <v>0</v>
      </c>
      <c r="J65" s="367">
        <f>VLOOKUP($C65,'3 - Detailed Assessment (Opt 2)'!$B$5:$N$36,12,0)</f>
        <v>2</v>
      </c>
      <c r="K65" s="713"/>
      <c r="L65" s="363">
        <f>VLOOKUP(F65,Lists!$C$43:$D$82,2,0)+VLOOKUP(G65,Lists!$C$43:$D$82,2,0)+VLOOKUP(H65,Lists!$C$43:$D$82,2,0)</f>
        <v>0</v>
      </c>
      <c r="M65" s="363">
        <f>IF((AVERAGE(M60:M63)-L65)&lt;0,0,AVERAGE(M60:M63)-L65)</f>
        <v>0</v>
      </c>
      <c r="N65" s="367" t="str">
        <f t="shared" si="3"/>
        <v>No answer given</v>
      </c>
      <c r="O65" s="713"/>
      <c r="P65" s="67"/>
    </row>
    <row r="66" spans="1:16" ht="121.5" customHeight="1" x14ac:dyDescent="0.25">
      <c r="A66" s="719"/>
      <c r="B66" s="713"/>
      <c r="C66" s="323" t="str">
        <f>Matrix!C16</f>
        <v>Decent remuneration and compensation for workers</v>
      </c>
      <c r="D66" s="425" t="str">
        <f>VLOOKUP($C66,'3 - Detailed Assessment (Opt 2)'!$B$5:$N$36,13,0)</f>
        <v>No answer given</v>
      </c>
      <c r="E66" s="372" t="s">
        <v>215</v>
      </c>
      <c r="F66" s="366"/>
      <c r="G66" s="366"/>
      <c r="H66" s="366"/>
      <c r="I66" s="367">
        <f>VLOOKUP($C66,'3 - Detailed Assessment (Opt 2)'!$B$5:$N$36,10,0)</f>
        <v>0</v>
      </c>
      <c r="J66" s="367">
        <f>VLOOKUP($C66,'3 - Detailed Assessment (Opt 2)'!$B$5:$N$36,12,0)</f>
        <v>0</v>
      </c>
      <c r="K66" s="713"/>
      <c r="L66" s="363">
        <f>VLOOKUP(F66,Lists!$C$43:$D$82,2,0)+VLOOKUP(G66,Lists!$C$43:$D$82,2,0)+VLOOKUP(H66,Lists!$C$43:$D$82,2,0)</f>
        <v>0</v>
      </c>
      <c r="M66" s="363">
        <f t="shared" si="2"/>
        <v>0</v>
      </c>
      <c r="N66" s="367" t="str">
        <f t="shared" si="3"/>
        <v>No answer given</v>
      </c>
      <c r="O66" s="713"/>
      <c r="P66" s="67"/>
    </row>
    <row r="67" spans="1:16" ht="156.75" customHeight="1" x14ac:dyDescent="0.25">
      <c r="A67" s="719"/>
      <c r="B67" s="713"/>
      <c r="C67" s="323" t="str">
        <f>Matrix!C17</f>
        <v>Occupational health and safety</v>
      </c>
      <c r="D67" s="425" t="str">
        <f>VLOOKUP($C67,'3 - Detailed Assessment (Opt 2)'!$B$5:$N$36,13,0)</f>
        <v>No answer given</v>
      </c>
      <c r="E67" s="372" t="s">
        <v>217</v>
      </c>
      <c r="F67" s="366"/>
      <c r="G67" s="366"/>
      <c r="H67" s="366"/>
      <c r="I67" s="367">
        <f>VLOOKUP($C67,'3 - Detailed Assessment (Opt 2)'!$B$5:$N$36,10,0)</f>
        <v>0</v>
      </c>
      <c r="J67" s="367">
        <f>VLOOKUP($C67,'3 - Detailed Assessment (Opt 2)'!$B$5:$N$36,12,0)</f>
        <v>0</v>
      </c>
      <c r="K67" s="713"/>
      <c r="L67" s="363">
        <f>VLOOKUP(F67,Lists!$C$43:$D$82,2,0)+VLOOKUP(G67,Lists!$C$43:$D$82,2,0)+VLOOKUP(H67,Lists!$C$43:$D$82,2,0)</f>
        <v>0</v>
      </c>
      <c r="M67" s="363">
        <f t="shared" si="2"/>
        <v>0</v>
      </c>
      <c r="N67" s="367" t="str">
        <f t="shared" si="3"/>
        <v>No answer given</v>
      </c>
      <c r="O67" s="713"/>
      <c r="P67" s="67"/>
    </row>
    <row r="68" spans="1:16" ht="154.5" customHeight="1" x14ac:dyDescent="0.25">
      <c r="A68" s="720"/>
      <c r="B68" s="699"/>
      <c r="C68" s="323" t="str">
        <f>Matrix!C18</f>
        <v xml:space="preserve">Human rights, child labor and slavery </v>
      </c>
      <c r="D68" s="425" t="str">
        <f>VLOOKUP($C68,'3 - Detailed Assessment (Opt 2)'!$B$5:$N$36,13,0)</f>
        <v>No answer given</v>
      </c>
      <c r="E68" s="372" t="s">
        <v>218</v>
      </c>
      <c r="F68" s="366"/>
      <c r="G68" s="366"/>
      <c r="H68" s="366"/>
      <c r="I68" s="367">
        <f>VLOOKUP($C68,'3 - Detailed Assessment (Opt 2)'!$B$5:$N$36,10,0)</f>
        <v>0</v>
      </c>
      <c r="J68" s="367">
        <f>VLOOKUP($C68,'3 - Detailed Assessment (Opt 2)'!$B$5:$N$36,12,0)</f>
        <v>0</v>
      </c>
      <c r="K68" s="699"/>
      <c r="L68" s="363">
        <f>VLOOKUP(F68,Lists!$C$43:$D$82,2,0)+VLOOKUP(G68,Lists!$C$43:$D$82,2,0)+VLOOKUP(H68,Lists!$C$43:$D$82,2,0)</f>
        <v>0</v>
      </c>
      <c r="M68" s="363">
        <f t="shared" si="2"/>
        <v>0</v>
      </c>
      <c r="N68" s="367" t="str">
        <f t="shared" si="3"/>
        <v>No answer given</v>
      </c>
      <c r="O68" s="699"/>
      <c r="P68" s="67"/>
    </row>
    <row r="69" spans="1:16" ht="108.75" customHeight="1" x14ac:dyDescent="0.25">
      <c r="A69" s="697" t="s">
        <v>409</v>
      </c>
      <c r="B69" s="698" t="str">
        <f>VLOOKUP(A69,'3 - Detailed Assessment (Opt 2)'!$A$5:$O$36,15,0)</f>
        <v>No answer given</v>
      </c>
      <c r="C69" s="324" t="str">
        <f>Matrix!C19</f>
        <v>Impact on food availability and price</v>
      </c>
      <c r="D69" s="425" t="str">
        <f>VLOOKUP($C69,'3 - Detailed Assessment (Opt 2)'!$B$5:$N$36,13,0)</f>
        <v>No answer given</v>
      </c>
      <c r="E69" s="372" t="s">
        <v>219</v>
      </c>
      <c r="F69" s="366"/>
      <c r="G69" s="366"/>
      <c r="H69" s="366"/>
      <c r="I69" s="367">
        <f>VLOOKUP($C69,'3 - Detailed Assessment (Opt 2)'!$B$5:$N$36,10,0)</f>
        <v>0</v>
      </c>
      <c r="J69" s="367">
        <f>VLOOKUP($C69,'3 - Detailed Assessment (Opt 2)'!$B$5:$N$36,12,0)</f>
        <v>0</v>
      </c>
      <c r="K69" s="698">
        <f>SUM(J69:J70)</f>
        <v>0</v>
      </c>
      <c r="L69" s="363">
        <f>VLOOKUP(F69,Lists!$C$43:$D$82,2,0)+VLOOKUP(G69,Lists!$C$43:$D$82,2,0)+VLOOKUP(H69,Lists!$C$43:$D$82,2,0)</f>
        <v>0</v>
      </c>
      <c r="M69" s="363">
        <f t="shared" si="2"/>
        <v>0</v>
      </c>
      <c r="N69" s="367" t="str">
        <f t="shared" si="3"/>
        <v>No answer given</v>
      </c>
      <c r="O69" s="698" t="str">
        <f>IF(COUNTIF(D69:D70,"No answer given")&gt;0,"No answer given",IF(AND(D69="High",N69="High"),"High Risk",IF(SUM(M69:M70)&lt;=K69/3,"Low Risk",IF(SUM(M69:M70)&gt;K69*2/3,"High Risk","Medium Risk"))))</f>
        <v>No answer given</v>
      </c>
      <c r="P69" s="67"/>
    </row>
    <row r="70" spans="1:16" ht="137.25" customHeight="1" x14ac:dyDescent="0.25">
      <c r="A70" s="697"/>
      <c r="B70" s="699"/>
      <c r="C70" s="324" t="str">
        <f>Matrix!C20</f>
        <v>Increased and equitable share of revenues &amp; employment opportunities for local communities development</v>
      </c>
      <c r="D70" s="425" t="str">
        <f>VLOOKUP($C70,'3 - Detailed Assessment (Opt 2)'!$B$5:$N$36,13,0)</f>
        <v>No answer given</v>
      </c>
      <c r="E70" s="372" t="s">
        <v>223</v>
      </c>
      <c r="F70" s="366"/>
      <c r="G70" s="366"/>
      <c r="H70" s="366"/>
      <c r="I70" s="367">
        <f>VLOOKUP($C70,'3 - Detailed Assessment (Opt 2)'!$B$5:$N$36,10,0)</f>
        <v>0</v>
      </c>
      <c r="J70" s="367">
        <f>VLOOKUP($C70,'3 - Detailed Assessment (Opt 2)'!$B$5:$N$36,12,0)</f>
        <v>0</v>
      </c>
      <c r="K70" s="699"/>
      <c r="L70" s="363">
        <f>VLOOKUP(F70,Lists!$C$43:$D$82,2,0)+VLOOKUP(G70,Lists!$C$43:$D$82,2,0)+VLOOKUP(H70,Lists!$C$43:$D$82,2,0)</f>
        <v>0</v>
      </c>
      <c r="M70" s="374">
        <f t="shared" si="2"/>
        <v>0</v>
      </c>
      <c r="N70" s="367" t="str">
        <f t="shared" si="3"/>
        <v>No answer given</v>
      </c>
      <c r="O70" s="715"/>
      <c r="P70" s="67"/>
    </row>
    <row r="71" spans="1:16" ht="132.75" customHeight="1" x14ac:dyDescent="0.25">
      <c r="A71" s="176" t="s">
        <v>426</v>
      </c>
      <c r="B71" s="704" t="str">
        <f>IF(COUNTIF(B54:B70,"No answer given")&gt;0,"No answer given",IF(COUNTIF(B54:B70,"High Risk")&gt;0,"Unacceptable without mitigation measures",IF(COUNTIF(D54:D70,"High")&gt;0,"May be acceptable but should implement Mitigation measures",IF(COUNTIF(D54:D65,"Medium")= 0,"Acceptable","Acceptable with mitigation measures"))))</f>
        <v>No answer given</v>
      </c>
      <c r="C71" s="705"/>
      <c r="D71" s="706"/>
      <c r="E71" s="36"/>
      <c r="F71" s="709"/>
      <c r="G71" s="710"/>
      <c r="H71" s="710"/>
      <c r="I71" s="710"/>
      <c r="J71" s="710"/>
      <c r="K71" s="710"/>
      <c r="L71" s="810" t="str">
        <f>IF(F40=Lists!$C$16,"Unacceptable as per criteria set by the Sustainable Biomass Guidelines",IF(COUNTIF(O54:O70,"No answer given")&gt;0,"No answer given",IF(B71="Acceptable","Acceptable",IF(OR(COUNTIF(O54:O70,"High Risk")&gt;0,AND(F40=Lists!$D$13,N69="Medium")),"Unacceptable",IF((COUNTIF(N54:N70,"Medium")+COUNTIF(N54:N70,"High"))&gt;0,"May be acceptable upon implementation of the selected mitigation measures and further ones to cover High/Medium Risk indicators","Acceptable upon implementation of the selected mitigation measures")))))</f>
        <v>No answer given</v>
      </c>
      <c r="M71" s="810"/>
      <c r="N71" s="810"/>
      <c r="O71" s="810"/>
      <c r="P71" s="67"/>
    </row>
    <row r="82" spans="7:15" x14ac:dyDescent="0.25">
      <c r="G82" s="168"/>
      <c r="O82" s="168"/>
    </row>
  </sheetData>
  <sheetProtection algorithmName="SHA-512" hashValue="10/OsUonw72DPfB2Ul/LOZGIxoLfVBxA0BrV7dH8cyIlyLfQ9qaPpWKA5bISTLukExZW4HbfWQemirkgCI+4gA==" saltValue="KpxdVAqyxP5cSoU+xWhQ8g==" spinCount="100000" sheet="1" objects="1" scenarios="1"/>
  <protectedRanges>
    <protectedRange sqref="F54:H70 F18:H34" name="Range1"/>
  </protectedRanges>
  <mergeCells count="67">
    <mergeCell ref="A1:P1"/>
    <mergeCell ref="A18:A20"/>
    <mergeCell ref="A21:A24"/>
    <mergeCell ref="A25:A27"/>
    <mergeCell ref="F16:H16"/>
    <mergeCell ref="F2:F5"/>
    <mergeCell ref="G2:G5"/>
    <mergeCell ref="K18:K20"/>
    <mergeCell ref="K21:K24"/>
    <mergeCell ref="K25:K27"/>
    <mergeCell ref="D2:E5"/>
    <mergeCell ref="B18:B20"/>
    <mergeCell ref="B21:B24"/>
    <mergeCell ref="B25:B27"/>
    <mergeCell ref="F7:G7"/>
    <mergeCell ref="F9:G9"/>
    <mergeCell ref="A28:A32"/>
    <mergeCell ref="A33:A34"/>
    <mergeCell ref="K28:K32"/>
    <mergeCell ref="K33:K34"/>
    <mergeCell ref="D40:E40"/>
    <mergeCell ref="B28:B32"/>
    <mergeCell ref="B33:B34"/>
    <mergeCell ref="L35:O35"/>
    <mergeCell ref="B35:D35"/>
    <mergeCell ref="F35:K35"/>
    <mergeCell ref="F52:H52"/>
    <mergeCell ref="O18:O20"/>
    <mergeCell ref="O21:O24"/>
    <mergeCell ref="O25:O27"/>
    <mergeCell ref="O28:O32"/>
    <mergeCell ref="O33:O34"/>
    <mergeCell ref="F47:G47"/>
    <mergeCell ref="F48:G48"/>
    <mergeCell ref="F49:G49"/>
    <mergeCell ref="F50:G50"/>
    <mergeCell ref="F43:G43"/>
    <mergeCell ref="F45:G45"/>
    <mergeCell ref="F46:G46"/>
    <mergeCell ref="A54:A56"/>
    <mergeCell ref="B54:B56"/>
    <mergeCell ref="K54:K56"/>
    <mergeCell ref="O54:O56"/>
    <mergeCell ref="A57:A60"/>
    <mergeCell ref="B57:B60"/>
    <mergeCell ref="K57:K60"/>
    <mergeCell ref="O57:O60"/>
    <mergeCell ref="A61:A63"/>
    <mergeCell ref="B61:B63"/>
    <mergeCell ref="K61:K63"/>
    <mergeCell ref="O61:O63"/>
    <mergeCell ref="A64:A68"/>
    <mergeCell ref="B64:B68"/>
    <mergeCell ref="K64:K68"/>
    <mergeCell ref="O64:O68"/>
    <mergeCell ref="A69:A70"/>
    <mergeCell ref="B69:B70"/>
    <mergeCell ref="K69:K70"/>
    <mergeCell ref="O69:O70"/>
    <mergeCell ref="B71:D71"/>
    <mergeCell ref="F71:K71"/>
    <mergeCell ref="L71:O71"/>
    <mergeCell ref="F10:G10"/>
    <mergeCell ref="F11:G11"/>
    <mergeCell ref="F12:G12"/>
    <mergeCell ref="F13:G13"/>
    <mergeCell ref="F14:G14"/>
  </mergeCells>
  <conditionalFormatting sqref="B18:B34 O18:O34">
    <cfRule type="expression" dxfId="19" priority="12">
      <formula>B18="Medium Risk"</formula>
    </cfRule>
    <cfRule type="expression" dxfId="18" priority="13">
      <formula>B18="High Risk"</formula>
    </cfRule>
    <cfRule type="expression" dxfId="17" priority="14">
      <formula>B18="Low Risk"</formula>
    </cfRule>
  </conditionalFormatting>
  <conditionalFormatting sqref="B54:B70 O54:O70">
    <cfRule type="expression" dxfId="16" priority="2">
      <formula>B54="Medium Risk"</formula>
    </cfRule>
    <cfRule type="expression" dxfId="15" priority="3">
      <formula>B54="High Risk"</formula>
    </cfRule>
    <cfRule type="expression" dxfId="14" priority="4">
      <formula>B54="Low Risk"</formula>
    </cfRule>
  </conditionalFormatting>
  <conditionalFormatting sqref="D18:D34">
    <cfRule type="containsText" dxfId="13" priority="56" operator="containsText" text="Low">
      <formula>NOT(ISERROR(SEARCH("Low",D18)))</formula>
    </cfRule>
    <cfRule type="containsText" dxfId="12" priority="57" operator="containsText" text="Medium">
      <formula>NOT(ISERROR(SEARCH("Medium",D18)))</formula>
    </cfRule>
    <cfRule type="containsText" dxfId="11" priority="58" operator="containsText" text="High">
      <formula>NOT(ISERROR(SEARCH("High",D18)))</formula>
    </cfRule>
  </conditionalFormatting>
  <conditionalFormatting sqref="D54:D70">
    <cfRule type="containsText" dxfId="10" priority="5" operator="containsText" text="Low">
      <formula>NOT(ISERROR(SEARCH("Low",D54)))</formula>
    </cfRule>
    <cfRule type="containsText" dxfId="9" priority="6" operator="containsText" text="Medium">
      <formula>NOT(ISERROR(SEARCH("Medium",D54)))</formula>
    </cfRule>
    <cfRule type="containsText" dxfId="8" priority="7" operator="containsText" text="High">
      <formula>NOT(ISERROR(SEARCH("High",D54)))</formula>
    </cfRule>
  </conditionalFormatting>
  <conditionalFormatting sqref="F18:H34">
    <cfRule type="duplicateValues" dxfId="7" priority="62"/>
  </conditionalFormatting>
  <conditionalFormatting sqref="F54:H70">
    <cfRule type="duplicateValues" dxfId="6" priority="1"/>
  </conditionalFormatting>
  <conditionalFormatting sqref="N18:N34">
    <cfRule type="containsText" dxfId="5" priority="59" operator="containsText" text="Low">
      <formula>NOT(ISERROR(SEARCH("Low",N18)))</formula>
    </cfRule>
    <cfRule type="containsText" dxfId="4" priority="60" operator="containsText" text="High">
      <formula>NOT(ISERROR(SEARCH("High",N18)))</formula>
    </cfRule>
    <cfRule type="containsText" dxfId="3" priority="61" operator="containsText" text="Medium">
      <formula>NOT(ISERROR(SEARCH("Medium",N18)))</formula>
    </cfRule>
  </conditionalFormatting>
  <conditionalFormatting sqref="N54:N70">
    <cfRule type="containsText" dxfId="2" priority="8" operator="containsText" text="Low">
      <formula>NOT(ISERROR(SEARCH("Low",N54)))</formula>
    </cfRule>
    <cfRule type="containsText" dxfId="1" priority="9" operator="containsText" text="High">
      <formula>NOT(ISERROR(SEARCH("High",N54)))</formula>
    </cfRule>
    <cfRule type="containsText" dxfId="0" priority="10" operator="containsText" text="Medium">
      <formula>NOT(ISERROR(SEARCH("Medium",N54)))</formula>
    </cfRule>
  </conditionalFormatting>
  <dataValidations count="3">
    <dataValidation type="list" allowBlank="1" showInputMessage="1" showErrorMessage="1" sqref="F54:F70 F18:F34" xr:uid="{5AEF57ED-CBCB-4294-878E-E2F6C9D79BF3}">
      <formula1>INDIRECT(E18)</formula1>
    </dataValidation>
    <dataValidation type="list" allowBlank="1" showInputMessage="1" showErrorMessage="1" sqref="G18:G34 G54:G70" xr:uid="{15FB0DB0-E7F8-4866-930D-F9D750228345}">
      <formula1>INDIRECT(E18)</formula1>
    </dataValidation>
    <dataValidation type="list" allowBlank="1" showInputMessage="1" showErrorMessage="1" sqref="H18:H34 H54:H70" xr:uid="{564E2533-2C47-488B-9AAB-0FE390EFB611}">
      <formula1>INDIRECT(E18)</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F879E-2649-401B-AD6B-6F30CF0F9DC5}">
  <sheetPr codeName="Sheet2">
    <tabColor theme="4"/>
  </sheetPr>
  <dimension ref="B3:P26"/>
  <sheetViews>
    <sheetView zoomScale="70" zoomScaleNormal="70" workbookViewId="0">
      <selection activeCell="E29" sqref="E29"/>
    </sheetView>
  </sheetViews>
  <sheetFormatPr defaultRowHeight="15" x14ac:dyDescent="0.25"/>
  <cols>
    <col min="2" max="3" width="34.5703125" customWidth="1"/>
    <col min="4" max="4" width="7.42578125" customWidth="1"/>
    <col min="5" max="5" width="48.42578125" customWidth="1"/>
    <col min="6" max="6" width="38.140625" customWidth="1"/>
    <col min="7" max="7" width="63.28515625" customWidth="1"/>
    <col min="8" max="8" width="40.85546875" customWidth="1"/>
    <col min="9" max="10" width="8.7109375" bestFit="1" customWidth="1"/>
    <col min="11" max="11" width="17.42578125" customWidth="1"/>
    <col min="12" max="12" width="24.140625" customWidth="1"/>
    <col min="13" max="13" width="28.140625" customWidth="1"/>
  </cols>
  <sheetData>
    <row r="3" spans="2:7" x14ac:dyDescent="0.25">
      <c r="B3" s="12" t="s">
        <v>12</v>
      </c>
      <c r="C3" s="12"/>
      <c r="D3" s="13" t="s">
        <v>13</v>
      </c>
      <c r="E3" s="13" t="s">
        <v>14</v>
      </c>
      <c r="F3" s="13" t="s">
        <v>15</v>
      </c>
      <c r="G3" s="14" t="s">
        <v>16</v>
      </c>
    </row>
    <row r="4" spans="2:7" ht="30" x14ac:dyDescent="0.25">
      <c r="D4" s="15">
        <v>1</v>
      </c>
      <c r="E4" s="5" t="s">
        <v>17</v>
      </c>
      <c r="F4" t="s">
        <v>18</v>
      </c>
    </row>
    <row r="5" spans="2:7" ht="60" x14ac:dyDescent="0.25">
      <c r="B5" t="s">
        <v>19</v>
      </c>
      <c r="D5" s="15"/>
      <c r="E5" s="30" t="s">
        <v>20</v>
      </c>
      <c r="F5" t="s">
        <v>21</v>
      </c>
      <c r="G5" s="29" t="s">
        <v>22</v>
      </c>
    </row>
    <row r="6" spans="2:7" ht="30" x14ac:dyDescent="0.25">
      <c r="B6" t="s">
        <v>23</v>
      </c>
      <c r="D6" s="15">
        <v>2</v>
      </c>
      <c r="E6" s="5" t="s">
        <v>24</v>
      </c>
      <c r="F6" t="s">
        <v>25</v>
      </c>
    </row>
    <row r="7" spans="2:7" ht="135" x14ac:dyDescent="0.25">
      <c r="D7" s="15"/>
      <c r="E7" s="16" t="s">
        <v>26</v>
      </c>
      <c r="F7" s="5" t="s">
        <v>27</v>
      </c>
      <c r="G7" s="29" t="s">
        <v>28</v>
      </c>
    </row>
    <row r="8" spans="2:7" ht="45" x14ac:dyDescent="0.25">
      <c r="D8" s="15">
        <v>3</v>
      </c>
      <c r="E8" s="5" t="s">
        <v>29</v>
      </c>
      <c r="F8" t="s">
        <v>25</v>
      </c>
    </row>
    <row r="9" spans="2:7" ht="87.95" customHeight="1" x14ac:dyDescent="0.25">
      <c r="D9" s="15"/>
      <c r="F9" t="s">
        <v>30</v>
      </c>
      <c r="G9" s="5" t="s">
        <v>31</v>
      </c>
    </row>
    <row r="10" spans="2:7" ht="30" x14ac:dyDescent="0.25">
      <c r="D10" s="15">
        <v>4</v>
      </c>
      <c r="E10" s="5" t="s">
        <v>32</v>
      </c>
      <c r="F10" t="s">
        <v>33</v>
      </c>
    </row>
    <row r="11" spans="2:7" x14ac:dyDescent="0.25">
      <c r="F11" t="s">
        <v>34</v>
      </c>
    </row>
    <row r="12" spans="2:7" x14ac:dyDescent="0.25">
      <c r="B12" s="12" t="s">
        <v>35</v>
      </c>
      <c r="C12" s="12"/>
      <c r="D12" s="17" t="s">
        <v>13</v>
      </c>
      <c r="E12" s="13" t="s">
        <v>14</v>
      </c>
      <c r="F12" s="13" t="s">
        <v>15</v>
      </c>
      <c r="G12" s="14" t="s">
        <v>16</v>
      </c>
    </row>
    <row r="13" spans="2:7" ht="45" x14ac:dyDescent="0.25">
      <c r="B13" s="5" t="s">
        <v>36</v>
      </c>
      <c r="C13" s="5"/>
      <c r="D13" s="15">
        <v>1</v>
      </c>
      <c r="E13" s="5" t="s">
        <v>37</v>
      </c>
      <c r="F13" s="5" t="s">
        <v>38</v>
      </c>
    </row>
    <row r="14" spans="2:7" ht="60" x14ac:dyDescent="0.25">
      <c r="D14" s="15"/>
      <c r="F14" s="5" t="s">
        <v>39</v>
      </c>
      <c r="G14" s="18" t="s">
        <v>40</v>
      </c>
    </row>
    <row r="15" spans="2:7" ht="30" x14ac:dyDescent="0.25">
      <c r="D15" s="15">
        <v>2</v>
      </c>
      <c r="E15" s="5" t="s">
        <v>41</v>
      </c>
      <c r="F15" t="s">
        <v>42</v>
      </c>
    </row>
    <row r="16" spans="2:7" ht="45" x14ac:dyDescent="0.25">
      <c r="D16" s="15"/>
      <c r="E16" s="16" t="s">
        <v>43</v>
      </c>
      <c r="F16" s="5" t="s">
        <v>44</v>
      </c>
      <c r="G16" s="5" t="s">
        <v>45</v>
      </c>
    </row>
    <row r="17" spans="2:16" ht="30" x14ac:dyDescent="0.25">
      <c r="D17" s="15">
        <v>3</v>
      </c>
      <c r="E17" s="5" t="s">
        <v>46</v>
      </c>
      <c r="F17" t="s">
        <v>47</v>
      </c>
    </row>
    <row r="18" spans="2:16" ht="75" x14ac:dyDescent="0.25">
      <c r="E18" s="16" t="s">
        <v>48</v>
      </c>
      <c r="F18" t="s">
        <v>49</v>
      </c>
      <c r="G18" s="5" t="s">
        <v>50</v>
      </c>
    </row>
    <row r="19" spans="2:16" x14ac:dyDescent="0.25">
      <c r="E19" s="16"/>
      <c r="G19" s="5"/>
    </row>
    <row r="20" spans="2:16" x14ac:dyDescent="0.25">
      <c r="B20" s="19" t="s">
        <v>51</v>
      </c>
      <c r="C20" s="20" t="s">
        <v>52</v>
      </c>
      <c r="D20" s="17" t="s">
        <v>13</v>
      </c>
      <c r="E20" s="20" t="s">
        <v>53</v>
      </c>
      <c r="F20" s="17" t="s">
        <v>15</v>
      </c>
      <c r="G20" s="21" t="s">
        <v>54</v>
      </c>
      <c r="H20" s="17" t="s">
        <v>16</v>
      </c>
    </row>
    <row r="21" spans="2:16" ht="60" x14ac:dyDescent="0.25">
      <c r="B21" s="5" t="s">
        <v>55</v>
      </c>
      <c r="C21" s="3" t="s">
        <v>56</v>
      </c>
      <c r="D21" s="4">
        <v>1</v>
      </c>
      <c r="E21" s="22" t="s">
        <v>57</v>
      </c>
      <c r="F21" s="3" t="s">
        <v>58</v>
      </c>
      <c r="G21" s="23" t="s">
        <v>59</v>
      </c>
      <c r="H21" s="3"/>
    </row>
    <row r="22" spans="2:16" ht="45" x14ac:dyDescent="0.25">
      <c r="C22" s="3" t="s">
        <v>60</v>
      </c>
      <c r="D22" s="4">
        <v>2</v>
      </c>
      <c r="E22" s="22" t="s">
        <v>61</v>
      </c>
      <c r="F22" s="3" t="s">
        <v>62</v>
      </c>
      <c r="G22" s="23" t="s">
        <v>63</v>
      </c>
      <c r="H22" s="3"/>
    </row>
    <row r="23" spans="2:16" ht="105" x14ac:dyDescent="0.25">
      <c r="C23" s="3" t="s">
        <v>64</v>
      </c>
      <c r="D23" s="4">
        <v>3</v>
      </c>
      <c r="E23" s="22" t="s">
        <v>65</v>
      </c>
      <c r="F23" s="3" t="s">
        <v>66</v>
      </c>
      <c r="G23" s="24" t="s">
        <v>67</v>
      </c>
      <c r="H23" s="22" t="s">
        <v>68</v>
      </c>
    </row>
    <row r="24" spans="2:16" ht="60" x14ac:dyDescent="0.25">
      <c r="C24" s="3"/>
      <c r="D24" s="4">
        <v>4</v>
      </c>
      <c r="E24" s="22" t="s">
        <v>69</v>
      </c>
      <c r="F24" s="3" t="s">
        <v>70</v>
      </c>
      <c r="G24" s="22" t="s">
        <v>71</v>
      </c>
      <c r="H24" s="3"/>
      <c r="J24" s="25" t="s">
        <v>72</v>
      </c>
      <c r="K24" s="25" t="s">
        <v>73</v>
      </c>
      <c r="L24" s="10" t="s">
        <v>74</v>
      </c>
      <c r="M24" s="10" t="s">
        <v>75</v>
      </c>
      <c r="N24" s="25"/>
      <c r="O24" s="25" t="s">
        <v>76</v>
      </c>
      <c r="P24" s="25"/>
    </row>
    <row r="25" spans="2:16" ht="30" x14ac:dyDescent="0.25">
      <c r="C25" s="22" t="s">
        <v>77</v>
      </c>
      <c r="D25" s="4">
        <v>5</v>
      </c>
      <c r="E25" s="22" t="s">
        <v>78</v>
      </c>
      <c r="F25" s="3" t="s">
        <v>79</v>
      </c>
      <c r="G25" s="24" t="s">
        <v>80</v>
      </c>
      <c r="H25" s="3"/>
      <c r="K25" s="5" t="s">
        <v>81</v>
      </c>
      <c r="L25" s="5"/>
      <c r="M25" s="5"/>
    </row>
    <row r="26" spans="2:16" ht="45" x14ac:dyDescent="0.25">
      <c r="C26" s="3" t="s">
        <v>82</v>
      </c>
      <c r="D26" s="4">
        <v>6</v>
      </c>
      <c r="E26" s="22" t="s">
        <v>83</v>
      </c>
      <c r="F26" s="3" t="s">
        <v>84</v>
      </c>
      <c r="G26" s="23" t="s">
        <v>85</v>
      </c>
      <c r="H26" s="3"/>
      <c r="K26" t="s">
        <v>86</v>
      </c>
    </row>
  </sheetData>
  <hyperlinks>
    <hyperlink ref="G14" r:id="rId1" display="https://www.becoop-project.eu/wp-content/uploads/Biomass-Direct-Heating.pdf" xr:uid="{AA0F4678-CCFB-4644-ACA1-D260AA95FE05}"/>
    <hyperlink ref="G23" r:id="rId2" xr:uid="{27F878FE-1F4A-4687-BE57-4D64D9583E18}"/>
    <hyperlink ref="G25" r:id="rId3" xr:uid="{52E3F055-C67D-4D64-BF2A-A7A6A0DF782F}"/>
    <hyperlink ref="G22" r:id="rId4" xr:uid="{12472937-4127-418E-8024-0C4EB28AC07A}"/>
    <hyperlink ref="G26" r:id="rId5" location="country/237_x000a__x000a_The Global Food Security Index | UNCCD" xr:uid="{F84D41B6-E20F-47FD-BE1D-83FE013E0C35}"/>
    <hyperlink ref="G21" r:id="rId6" display="https://thinkhazard.org/en/" xr:uid="{FFFF29D0-2AC4-4D0D-AA1A-790C5CB0330E}"/>
  </hyperlink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5A3BA-533F-4DCD-AC20-E13B5DF83B2B}">
  <sheetPr codeName="Sheet11">
    <tabColor rgb="FF7030A0"/>
  </sheetPr>
  <dimension ref="A1:O72"/>
  <sheetViews>
    <sheetView showGridLines="0" tabSelected="1" topLeftCell="A59" zoomScale="55" zoomScaleNormal="55" workbookViewId="0">
      <selection activeCell="D17" sqref="D13:E17"/>
    </sheetView>
  </sheetViews>
  <sheetFormatPr defaultColWidth="8.7109375" defaultRowHeight="12.75" x14ac:dyDescent="0.2"/>
  <cols>
    <col min="1" max="1" width="4.7109375" style="1" customWidth="1"/>
    <col min="2" max="2" width="5.28515625" style="1" customWidth="1"/>
    <col min="3" max="3" width="66.140625" style="1" customWidth="1"/>
    <col min="4" max="4" width="47.42578125" style="1" customWidth="1"/>
    <col min="5" max="5" width="49.85546875" style="1" customWidth="1"/>
    <col min="6" max="6" width="16.28515625" style="1" customWidth="1"/>
    <col min="7" max="7" width="37" style="1" customWidth="1"/>
    <col min="8" max="8" width="36.7109375" style="1" customWidth="1"/>
    <col min="9" max="9" width="19.28515625" style="1" customWidth="1"/>
    <col min="10" max="11" width="26.42578125" style="1" customWidth="1"/>
    <col min="12" max="16384" width="8.7109375" style="1"/>
  </cols>
  <sheetData>
    <row r="1" spans="1:9" ht="12.6" customHeight="1" x14ac:dyDescent="0.2">
      <c r="A1" s="440" t="s">
        <v>504</v>
      </c>
      <c r="B1" s="440"/>
      <c r="C1" s="440"/>
      <c r="D1" s="440"/>
      <c r="E1" s="440"/>
      <c r="F1" s="440"/>
      <c r="G1" s="440"/>
      <c r="H1" s="440"/>
      <c r="I1" s="440"/>
    </row>
    <row r="2" spans="1:9" ht="39.950000000000003" customHeight="1" x14ac:dyDescent="0.2">
      <c r="A2" s="440"/>
      <c r="B2" s="440"/>
      <c r="C2" s="440"/>
      <c r="D2" s="440"/>
      <c r="E2" s="440"/>
      <c r="F2" s="440"/>
      <c r="G2" s="440"/>
      <c r="H2" s="440"/>
      <c r="I2" s="440"/>
    </row>
    <row r="3" spans="1:9" ht="26.45" customHeight="1" x14ac:dyDescent="0.2">
      <c r="A3" s="440"/>
      <c r="B3" s="440"/>
      <c r="C3" s="440"/>
      <c r="D3" s="440"/>
      <c r="E3" s="440"/>
      <c r="F3" s="440"/>
      <c r="G3" s="440"/>
      <c r="H3" s="440"/>
      <c r="I3" s="440"/>
    </row>
    <row r="4" spans="1:9" ht="20.25" customHeight="1" x14ac:dyDescent="0.25">
      <c r="A4" s="392"/>
      <c r="B4" s="470"/>
      <c r="C4" s="471" t="s">
        <v>505</v>
      </c>
      <c r="D4" s="471"/>
      <c r="E4" s="471"/>
      <c r="F4" s="471"/>
      <c r="G4" s="471"/>
      <c r="H4" s="392"/>
      <c r="I4" s="392"/>
    </row>
    <row r="5" spans="1:9" ht="25.5" customHeight="1" x14ac:dyDescent="0.2">
      <c r="A5" s="392"/>
      <c r="B5" s="470"/>
      <c r="C5" s="393" t="s">
        <v>224</v>
      </c>
      <c r="D5" s="495"/>
      <c r="E5" s="495"/>
      <c r="F5" s="495"/>
      <c r="G5" s="495"/>
      <c r="H5" s="392"/>
      <c r="I5" s="392"/>
    </row>
    <row r="6" spans="1:9" ht="24.6" customHeight="1" x14ac:dyDescent="0.2">
      <c r="A6" s="392"/>
      <c r="B6" s="470"/>
      <c r="C6" s="393" t="s">
        <v>225</v>
      </c>
      <c r="D6" s="495"/>
      <c r="E6" s="495"/>
      <c r="F6" s="495"/>
      <c r="G6" s="495"/>
      <c r="H6" s="392"/>
      <c r="I6" s="392"/>
    </row>
    <row r="7" spans="1:9" ht="23.1" customHeight="1" x14ac:dyDescent="0.2">
      <c r="A7" s="392"/>
      <c r="B7" s="470"/>
      <c r="C7" s="393" t="s">
        <v>226</v>
      </c>
      <c r="D7" s="495"/>
      <c r="E7" s="495"/>
      <c r="F7" s="495"/>
      <c r="G7" s="495"/>
      <c r="H7" s="392"/>
      <c r="I7" s="392"/>
    </row>
    <row r="8" spans="1:9" ht="23.1" customHeight="1" x14ac:dyDescent="0.2">
      <c r="A8" s="392"/>
      <c r="B8" s="470"/>
      <c r="C8" s="393" t="s">
        <v>227</v>
      </c>
      <c r="D8" s="495"/>
      <c r="E8" s="495"/>
      <c r="F8" s="495"/>
      <c r="G8" s="495"/>
      <c r="H8" s="392"/>
      <c r="I8" s="392"/>
    </row>
    <row r="9" spans="1:9" ht="23.1" customHeight="1" x14ac:dyDescent="0.2">
      <c r="A9" s="392"/>
      <c r="B9" s="470"/>
      <c r="C9" s="393" t="s">
        <v>228</v>
      </c>
      <c r="D9" s="495"/>
      <c r="E9" s="495"/>
      <c r="F9" s="495"/>
      <c r="G9" s="495"/>
      <c r="H9" s="392"/>
      <c r="I9" s="392"/>
    </row>
    <row r="10" spans="1:9" ht="12.6" customHeight="1" x14ac:dyDescent="0.2">
      <c r="A10" s="392"/>
      <c r="B10" s="392"/>
      <c r="C10" s="392"/>
      <c r="D10" s="392"/>
      <c r="E10" s="392"/>
      <c r="F10" s="392"/>
      <c r="G10" s="392"/>
      <c r="H10" s="392"/>
      <c r="I10" s="392"/>
    </row>
    <row r="11" spans="1:9" ht="21.6" customHeight="1" x14ac:dyDescent="0.25">
      <c r="A11" s="392"/>
      <c r="B11" s="392"/>
      <c r="C11" s="471" t="s">
        <v>506</v>
      </c>
      <c r="D11" s="471"/>
      <c r="E11" s="471"/>
      <c r="F11" s="394"/>
      <c r="G11" s="392"/>
      <c r="H11" s="392"/>
      <c r="I11" s="392"/>
    </row>
    <row r="12" spans="1:9" ht="15" customHeight="1" x14ac:dyDescent="0.2">
      <c r="A12" s="392"/>
      <c r="B12" s="392"/>
      <c r="C12" s="395"/>
      <c r="D12" s="396" t="s">
        <v>229</v>
      </c>
      <c r="E12" s="397" t="s">
        <v>230</v>
      </c>
      <c r="F12" s="392"/>
      <c r="G12" s="392"/>
      <c r="H12" s="392"/>
      <c r="I12" s="392"/>
    </row>
    <row r="13" spans="1:9" ht="33.6" customHeight="1" x14ac:dyDescent="0.2">
      <c r="A13" s="392"/>
      <c r="B13" s="470" t="s">
        <v>231</v>
      </c>
      <c r="C13" s="398" t="s">
        <v>232</v>
      </c>
      <c r="D13" s="399"/>
      <c r="E13" s="399"/>
      <c r="F13" s="392"/>
      <c r="G13" s="392"/>
      <c r="H13" s="392"/>
      <c r="I13" s="392"/>
    </row>
    <row r="14" spans="1:9" ht="39.6" customHeight="1" x14ac:dyDescent="0.2">
      <c r="A14" s="392"/>
      <c r="B14" s="470"/>
      <c r="C14" s="400" t="s">
        <v>233</v>
      </c>
      <c r="D14" s="399"/>
      <c r="E14" s="399"/>
      <c r="F14" s="392"/>
      <c r="G14" s="392"/>
      <c r="H14" s="392"/>
      <c r="I14" s="392"/>
    </row>
    <row r="15" spans="1:9" ht="50.1" customHeight="1" x14ac:dyDescent="0.2">
      <c r="A15" s="392"/>
      <c r="B15" s="470"/>
      <c r="C15" s="401" t="s">
        <v>234</v>
      </c>
      <c r="D15" s="399"/>
      <c r="E15" s="399"/>
      <c r="F15" s="392"/>
      <c r="G15" s="392"/>
      <c r="H15" s="392"/>
      <c r="I15" s="392"/>
    </row>
    <row r="16" spans="1:9" ht="36.950000000000003" customHeight="1" x14ac:dyDescent="0.2">
      <c r="A16" s="392"/>
      <c r="B16" s="470"/>
      <c r="C16" s="401" t="s">
        <v>447</v>
      </c>
      <c r="D16" s="211"/>
      <c r="E16" s="211"/>
      <c r="F16" s="392"/>
      <c r="G16" s="392"/>
      <c r="H16" s="392"/>
      <c r="I16" s="392"/>
    </row>
    <row r="17" spans="1:11" ht="37.5" customHeight="1" x14ac:dyDescent="0.2">
      <c r="A17" s="392"/>
      <c r="B17" s="470"/>
      <c r="C17" s="401" t="s">
        <v>235</v>
      </c>
      <c r="D17" s="402"/>
      <c r="E17" s="402"/>
      <c r="F17" s="392"/>
      <c r="G17" s="392"/>
      <c r="H17" s="392"/>
      <c r="I17" s="392"/>
    </row>
    <row r="18" spans="1:11" ht="90.6" customHeight="1" x14ac:dyDescent="0.2">
      <c r="A18" s="392"/>
      <c r="B18" s="470"/>
      <c r="C18" s="403"/>
      <c r="D18" s="474" t="s">
        <v>625</v>
      </c>
      <c r="E18" s="475"/>
      <c r="F18" s="392"/>
      <c r="G18" s="392"/>
      <c r="H18" s="392"/>
      <c r="I18" s="392"/>
    </row>
    <row r="19" spans="1:11" ht="123" customHeight="1" x14ac:dyDescent="0.2">
      <c r="A19" s="392"/>
      <c r="B19" s="470"/>
      <c r="C19" s="390" t="s">
        <v>459</v>
      </c>
      <c r="D19" s="431"/>
      <c r="E19" s="432"/>
      <c r="F19" s="392"/>
      <c r="G19" s="392"/>
      <c r="H19" s="392"/>
      <c r="I19" s="392"/>
    </row>
    <row r="20" spans="1:11" ht="90.6" customHeight="1" x14ac:dyDescent="0.2">
      <c r="A20" s="392"/>
      <c r="B20" s="470"/>
      <c r="C20" s="390" t="s">
        <v>629</v>
      </c>
      <c r="D20" s="399"/>
      <c r="E20" s="399"/>
      <c r="F20" s="404"/>
      <c r="G20" s="392"/>
      <c r="H20" s="392"/>
      <c r="I20" s="392"/>
      <c r="K20" s="245"/>
    </row>
    <row r="21" spans="1:11" ht="83.1" customHeight="1" x14ac:dyDescent="0.2">
      <c r="A21" s="392"/>
      <c r="B21" s="470"/>
      <c r="C21" s="390" t="s">
        <v>236</v>
      </c>
      <c r="D21" s="399"/>
      <c r="E21" s="399"/>
      <c r="F21" s="392"/>
      <c r="G21" s="392"/>
      <c r="H21" s="392"/>
      <c r="I21" s="392"/>
    </row>
    <row r="22" spans="1:11" ht="54.6" customHeight="1" x14ac:dyDescent="0.2">
      <c r="A22" s="392"/>
      <c r="B22" s="404"/>
      <c r="C22" s="404"/>
      <c r="D22" s="409" t="str">
        <f>IF(OR(ISBLANK(D21),ISBLANK(D20)),"",IF(D21="No",IF(D20="No","Go to 'Pre-Screening Assessment Tab'","Go to 'Basic Assesssment' Tab"),"Go to 'Detailed Assesssment' Tab"))</f>
        <v/>
      </c>
      <c r="E22" s="409" t="str">
        <f>IF(OR(ISBLANK(E21),ISBLANK(E20)),"",IF(E21="No",IF(E20="No","Go to 'Pre-Screening Assessment Tab'","Go to 'Basic Assesssment' Tab"),"Go to 'Detailed Assesssment' Tab"))</f>
        <v/>
      </c>
      <c r="F22" s="392"/>
      <c r="G22" s="392"/>
      <c r="H22" s="392"/>
      <c r="I22" s="392"/>
    </row>
    <row r="23" spans="1:11" ht="14.25" customHeight="1" x14ac:dyDescent="0.2">
      <c r="A23" s="392"/>
      <c r="B23" s="404"/>
      <c r="C23" s="404"/>
      <c r="D23" s="404"/>
      <c r="E23" s="404"/>
      <c r="F23" s="392"/>
      <c r="G23" s="392"/>
      <c r="H23" s="392"/>
      <c r="I23" s="392"/>
    </row>
    <row r="24" spans="1:11" ht="27.75" customHeight="1" x14ac:dyDescent="0.25">
      <c r="A24" s="392"/>
      <c r="B24" s="392"/>
      <c r="C24" s="471" t="s">
        <v>519</v>
      </c>
      <c r="D24" s="471"/>
      <c r="E24" s="471"/>
      <c r="F24" s="471"/>
      <c r="G24" s="471"/>
      <c r="H24" s="471"/>
      <c r="I24" s="455" t="s">
        <v>626</v>
      </c>
    </row>
    <row r="25" spans="1:11" ht="35.1" customHeight="1" x14ac:dyDescent="0.2">
      <c r="A25" s="392"/>
      <c r="B25" s="392"/>
      <c r="C25" s="210" t="s">
        <v>507</v>
      </c>
      <c r="D25" s="484" t="s">
        <v>14</v>
      </c>
      <c r="E25" s="484"/>
      <c r="F25" s="210" t="s">
        <v>492</v>
      </c>
      <c r="G25" s="484" t="s">
        <v>489</v>
      </c>
      <c r="H25" s="484"/>
      <c r="I25" s="455"/>
    </row>
    <row r="26" spans="1:11" ht="21.75" customHeight="1" x14ac:dyDescent="0.2">
      <c r="A26" s="392"/>
      <c r="B26" s="470" t="s">
        <v>499</v>
      </c>
      <c r="C26" s="464" t="s">
        <v>467</v>
      </c>
      <c r="D26" s="465"/>
      <c r="E26" s="465"/>
      <c r="F26" s="465"/>
      <c r="G26" s="465"/>
      <c r="H26" s="466"/>
      <c r="I26" s="455"/>
    </row>
    <row r="27" spans="1:11" ht="49.5" customHeight="1" x14ac:dyDescent="0.2">
      <c r="A27" s="392"/>
      <c r="B27" s="470"/>
      <c r="C27" s="458" t="s">
        <v>508</v>
      </c>
      <c r="D27" s="460" t="s">
        <v>520</v>
      </c>
      <c r="E27" s="461"/>
      <c r="F27" s="211"/>
      <c r="G27" s="490"/>
      <c r="H27" s="490"/>
      <c r="I27" s="455"/>
    </row>
    <row r="28" spans="1:11" ht="40.5" customHeight="1" x14ac:dyDescent="0.2">
      <c r="A28" s="392"/>
      <c r="B28" s="470"/>
      <c r="C28" s="472"/>
      <c r="D28" s="462"/>
      <c r="E28" s="463"/>
      <c r="F28" s="211"/>
      <c r="G28" s="456"/>
      <c r="H28" s="457"/>
      <c r="I28" s="392"/>
    </row>
    <row r="29" spans="1:11" ht="51.95" customHeight="1" x14ac:dyDescent="0.2">
      <c r="A29" s="392"/>
      <c r="B29" s="470"/>
      <c r="C29" s="472"/>
      <c r="D29" s="460" t="s">
        <v>644</v>
      </c>
      <c r="E29" s="461"/>
      <c r="F29" s="211"/>
      <c r="G29" s="490"/>
      <c r="H29" s="490"/>
      <c r="I29" s="392"/>
    </row>
    <row r="30" spans="1:11" ht="47.45" customHeight="1" x14ac:dyDescent="0.2">
      <c r="A30" s="392"/>
      <c r="B30" s="470"/>
      <c r="C30" s="459"/>
      <c r="D30" s="462"/>
      <c r="E30" s="463"/>
      <c r="F30" s="211"/>
      <c r="G30" s="456"/>
      <c r="H30" s="457"/>
      <c r="I30" s="392"/>
    </row>
    <row r="31" spans="1:11" ht="44.1" customHeight="1" x14ac:dyDescent="0.2">
      <c r="A31" s="392"/>
      <c r="B31" s="470"/>
      <c r="C31" s="467" t="s">
        <v>468</v>
      </c>
      <c r="D31" s="468"/>
      <c r="E31" s="468"/>
      <c r="F31" s="468"/>
      <c r="G31" s="468"/>
      <c r="H31" s="469"/>
      <c r="I31" s="392"/>
    </row>
    <row r="32" spans="1:11" ht="60.95" customHeight="1" x14ac:dyDescent="0.2">
      <c r="A32" s="392"/>
      <c r="B32" s="470"/>
      <c r="C32" s="458" t="s">
        <v>509</v>
      </c>
      <c r="D32" s="460" t="s">
        <v>490</v>
      </c>
      <c r="E32" s="461"/>
      <c r="F32" s="211"/>
      <c r="G32" s="490"/>
      <c r="H32" s="490"/>
      <c r="I32" s="392"/>
    </row>
    <row r="33" spans="1:9" ht="65.099999999999994" customHeight="1" x14ac:dyDescent="0.2">
      <c r="A33" s="392"/>
      <c r="B33" s="470"/>
      <c r="C33" s="459"/>
      <c r="D33" s="462"/>
      <c r="E33" s="463"/>
      <c r="F33" s="211"/>
      <c r="G33" s="456"/>
      <c r="H33" s="457"/>
      <c r="I33" s="392"/>
    </row>
    <row r="34" spans="1:9" ht="27.75" customHeight="1" x14ac:dyDescent="0.2">
      <c r="A34" s="392"/>
      <c r="B34" s="470"/>
      <c r="C34" s="467" t="s">
        <v>240</v>
      </c>
      <c r="D34" s="468"/>
      <c r="E34" s="468"/>
      <c r="F34" s="468"/>
      <c r="G34" s="468"/>
      <c r="H34" s="469"/>
      <c r="I34" s="392"/>
    </row>
    <row r="35" spans="1:9" ht="47.45" customHeight="1" x14ac:dyDescent="0.2">
      <c r="A35" s="392"/>
      <c r="B35" s="470"/>
      <c r="C35" s="458" t="s">
        <v>645</v>
      </c>
      <c r="D35" s="460" t="s">
        <v>646</v>
      </c>
      <c r="E35" s="461"/>
      <c r="F35" s="211"/>
      <c r="G35" s="490"/>
      <c r="H35" s="490"/>
      <c r="I35" s="392"/>
    </row>
    <row r="36" spans="1:9" ht="92.1" customHeight="1" x14ac:dyDescent="0.2">
      <c r="A36" s="392"/>
      <c r="B36" s="470"/>
      <c r="C36" s="459"/>
      <c r="D36" s="462"/>
      <c r="E36" s="463"/>
      <c r="F36" s="211"/>
      <c r="G36" s="456"/>
      <c r="H36" s="457"/>
      <c r="I36" s="392"/>
    </row>
    <row r="37" spans="1:9" ht="38.450000000000003" customHeight="1" x14ac:dyDescent="0.2">
      <c r="A37" s="392"/>
      <c r="B37" s="470"/>
      <c r="C37" s="467" t="s">
        <v>466</v>
      </c>
      <c r="D37" s="468"/>
      <c r="E37" s="468"/>
      <c r="F37" s="468"/>
      <c r="G37" s="468"/>
      <c r="H37" s="469"/>
      <c r="I37" s="392"/>
    </row>
    <row r="38" spans="1:9" ht="66.95" customHeight="1" x14ac:dyDescent="0.2">
      <c r="A38" s="392"/>
      <c r="B38" s="470"/>
      <c r="C38" s="458" t="s">
        <v>510</v>
      </c>
      <c r="D38" s="460" t="s">
        <v>491</v>
      </c>
      <c r="E38" s="461"/>
      <c r="F38" s="211"/>
      <c r="G38" s="490"/>
      <c r="H38" s="490"/>
      <c r="I38" s="392"/>
    </row>
    <row r="39" spans="1:9" ht="86.45" customHeight="1" x14ac:dyDescent="0.2">
      <c r="A39" s="392"/>
      <c r="B39" s="470"/>
      <c r="C39" s="459"/>
      <c r="D39" s="462"/>
      <c r="E39" s="463"/>
      <c r="F39" s="211"/>
      <c r="G39" s="456"/>
      <c r="H39" s="457"/>
      <c r="I39" s="392"/>
    </row>
    <row r="40" spans="1:9" ht="27.75" customHeight="1" x14ac:dyDescent="0.2">
      <c r="A40" s="392"/>
      <c r="B40" s="470"/>
      <c r="C40" s="467" t="s">
        <v>241</v>
      </c>
      <c r="D40" s="468"/>
      <c r="E40" s="468"/>
      <c r="F40" s="468"/>
      <c r="G40" s="468"/>
      <c r="H40" s="469"/>
      <c r="I40" s="392"/>
    </row>
    <row r="41" spans="1:9" ht="56.45" customHeight="1" x14ac:dyDescent="0.2">
      <c r="A41" s="392"/>
      <c r="B41" s="470"/>
      <c r="C41" s="473" t="s">
        <v>511</v>
      </c>
      <c r="D41" s="473" t="s">
        <v>647</v>
      </c>
      <c r="E41" s="473"/>
      <c r="F41" s="211"/>
      <c r="G41" s="490"/>
      <c r="H41" s="490"/>
      <c r="I41" s="392"/>
    </row>
    <row r="42" spans="1:9" ht="66" customHeight="1" x14ac:dyDescent="0.2">
      <c r="A42" s="392"/>
      <c r="B42" s="470"/>
      <c r="C42" s="473"/>
      <c r="D42" s="473"/>
      <c r="E42" s="473"/>
      <c r="F42" s="211"/>
      <c r="G42" s="490"/>
      <c r="H42" s="490"/>
      <c r="I42" s="392"/>
    </row>
    <row r="43" spans="1:9" ht="36" customHeight="1" x14ac:dyDescent="0.2">
      <c r="A43" s="392"/>
      <c r="B43" s="392"/>
      <c r="C43" s="392"/>
      <c r="D43" s="392"/>
      <c r="E43" s="392"/>
      <c r="F43" s="392"/>
      <c r="G43" s="392"/>
      <c r="H43" s="392"/>
      <c r="I43" s="392"/>
    </row>
    <row r="44" spans="1:9" ht="28.5" customHeight="1" x14ac:dyDescent="0.25">
      <c r="A44" s="392"/>
      <c r="B44" s="392"/>
      <c r="C44" s="485" t="s">
        <v>512</v>
      </c>
      <c r="D44" s="486"/>
      <c r="E44" s="486"/>
      <c r="F44" s="486"/>
      <c r="G44" s="486"/>
      <c r="H44" s="392"/>
      <c r="I44" s="392"/>
    </row>
    <row r="45" spans="1:9" ht="15.75" x14ac:dyDescent="0.2">
      <c r="A45" s="392"/>
      <c r="B45" s="470" t="s">
        <v>521</v>
      </c>
      <c r="C45" s="391" t="s">
        <v>465</v>
      </c>
      <c r="D45" s="487" t="s">
        <v>496</v>
      </c>
      <c r="E45" s="488"/>
      <c r="F45" s="488"/>
      <c r="G45" s="489"/>
      <c r="H45" s="392"/>
      <c r="I45" s="392"/>
    </row>
    <row r="46" spans="1:9" ht="59.45" customHeight="1" x14ac:dyDescent="0.2">
      <c r="A46" s="392"/>
      <c r="B46" s="470"/>
      <c r="C46" s="405" t="s">
        <v>493</v>
      </c>
      <c r="D46" s="480" t="s">
        <v>627</v>
      </c>
      <c r="E46" s="481"/>
      <c r="F46" s="481"/>
      <c r="G46" s="482"/>
      <c r="H46" s="392"/>
      <c r="I46" s="392"/>
    </row>
    <row r="47" spans="1:9" ht="131.1" customHeight="1" x14ac:dyDescent="0.2">
      <c r="A47" s="392"/>
      <c r="B47" s="470"/>
      <c r="C47" s="405" t="s">
        <v>237</v>
      </c>
      <c r="D47" s="480" t="s">
        <v>628</v>
      </c>
      <c r="E47" s="481"/>
      <c r="F47" s="481"/>
      <c r="G47" s="482"/>
      <c r="H47" s="392"/>
      <c r="I47" s="392"/>
    </row>
    <row r="48" spans="1:9" ht="84.95" customHeight="1" x14ac:dyDescent="0.2">
      <c r="A48" s="392"/>
      <c r="B48" s="470"/>
      <c r="C48" s="405" t="s">
        <v>238</v>
      </c>
      <c r="D48" s="480" t="s">
        <v>687</v>
      </c>
      <c r="E48" s="481"/>
      <c r="F48" s="481"/>
      <c r="G48" s="482"/>
      <c r="H48" s="392"/>
      <c r="I48" s="392"/>
    </row>
    <row r="49" spans="1:15" ht="82.5" customHeight="1" x14ac:dyDescent="0.2">
      <c r="A49" s="392"/>
      <c r="B49" s="470"/>
      <c r="C49" s="405" t="s">
        <v>239</v>
      </c>
      <c r="D49" s="483" t="s">
        <v>688</v>
      </c>
      <c r="E49" s="483"/>
      <c r="F49" s="483"/>
      <c r="G49" s="483"/>
      <c r="H49" s="392"/>
      <c r="I49" s="392"/>
    </row>
    <row r="50" spans="1:15" ht="42.95" customHeight="1" x14ac:dyDescent="0.2">
      <c r="A50" s="392"/>
      <c r="B50" s="392"/>
      <c r="C50" s="406"/>
      <c r="D50" s="392"/>
      <c r="E50" s="392"/>
      <c r="F50" s="392"/>
      <c r="G50" s="392"/>
      <c r="H50" s="392"/>
      <c r="I50" s="392"/>
    </row>
    <row r="51" spans="1:15" ht="24.95" customHeight="1" x14ac:dyDescent="0.2">
      <c r="A51" s="392"/>
      <c r="B51" s="478" t="s">
        <v>242</v>
      </c>
      <c r="C51" s="493" t="s">
        <v>243</v>
      </c>
      <c r="D51" s="494"/>
      <c r="E51" s="494"/>
      <c r="F51" s="494"/>
      <c r="G51" s="494"/>
      <c r="H51" s="494"/>
      <c r="I51" s="392"/>
    </row>
    <row r="52" spans="1:15" ht="15.75" x14ac:dyDescent="0.2">
      <c r="A52" s="392"/>
      <c r="B52" s="478"/>
      <c r="C52" s="491" t="s">
        <v>246</v>
      </c>
      <c r="D52" s="491" t="s">
        <v>247</v>
      </c>
      <c r="E52" s="491" t="s">
        <v>248</v>
      </c>
      <c r="F52" s="491" t="s">
        <v>250</v>
      </c>
      <c r="G52" s="407" t="s">
        <v>244</v>
      </c>
      <c r="H52" s="407" t="s">
        <v>245</v>
      </c>
      <c r="I52" s="392"/>
    </row>
    <row r="53" spans="1:15" ht="70.5" customHeight="1" x14ac:dyDescent="0.2">
      <c r="A53" s="392"/>
      <c r="B53" s="478"/>
      <c r="C53" s="491"/>
      <c r="D53" s="491"/>
      <c r="E53" s="491"/>
      <c r="F53" s="491"/>
      <c r="G53" s="408" t="str">
        <f>IF(ISBLANK(D16),"No answer given",D16)</f>
        <v>No answer given</v>
      </c>
      <c r="H53" s="408" t="str">
        <f>IF(ISBLANK(E16),"No answer given",E16)</f>
        <v>No answer given</v>
      </c>
      <c r="I53" s="392"/>
    </row>
    <row r="54" spans="1:15" ht="51" customHeight="1" x14ac:dyDescent="0.2">
      <c r="A54" s="392"/>
      <c r="B54" s="478"/>
      <c r="C54" s="479" t="s">
        <v>56</v>
      </c>
      <c r="D54" s="390" t="s">
        <v>533</v>
      </c>
      <c r="E54" s="477" t="s">
        <v>438</v>
      </c>
      <c r="F54" s="473" t="s">
        <v>251</v>
      </c>
      <c r="G54" s="410" t="str">
        <f>IF($G$53="No answer given","",VLOOKUP(D54,Matrix!$C$4:$M$20,MATCH($G$53,Matrix!$I$3:$M$3,0)+6,0))</f>
        <v/>
      </c>
      <c r="H54" s="410" t="str">
        <f>IF($H$53="No answer given","",VLOOKUP(D54,Matrix!$C$4:$M$20,MATCH($H$53,Matrix!$I$3:$M$3,0)+6,0))</f>
        <v/>
      </c>
      <c r="I54" s="392"/>
      <c r="M54" s="476"/>
      <c r="N54" s="476"/>
      <c r="O54" s="476"/>
    </row>
    <row r="55" spans="1:15" ht="57.95" customHeight="1" x14ac:dyDescent="0.2">
      <c r="A55" s="392"/>
      <c r="B55" s="478"/>
      <c r="C55" s="479"/>
      <c r="D55" s="390" t="s">
        <v>439</v>
      </c>
      <c r="E55" s="477"/>
      <c r="F55" s="473"/>
      <c r="G55" s="410" t="str">
        <f>IF($G$53="No answer given","",VLOOKUP(D55,Matrix!$C$4:$M$20,MATCH($G$53,Matrix!$I$3:$M$3,0)+6,0))</f>
        <v/>
      </c>
      <c r="H55" s="410" t="str">
        <f>IF($H$53="No answer given","",VLOOKUP(D55,Matrix!$C$4:$M$20,MATCH($H$53,Matrix!$I$3:$M$3,0)+6,0))</f>
        <v/>
      </c>
      <c r="I55" s="392"/>
      <c r="M55" s="476"/>
      <c r="N55" s="476"/>
      <c r="O55" s="476"/>
    </row>
    <row r="56" spans="1:15" ht="42.95" customHeight="1" x14ac:dyDescent="0.2">
      <c r="A56" s="392"/>
      <c r="B56" s="478"/>
      <c r="C56" s="479"/>
      <c r="D56" s="390" t="s">
        <v>252</v>
      </c>
      <c r="E56" s="477"/>
      <c r="F56" s="390" t="s">
        <v>253</v>
      </c>
      <c r="G56" s="410" t="str">
        <f>IF($G$53="No answer given","",VLOOKUP(D56,Matrix!$C$4:$M$20,MATCH($G$53,Matrix!$I$3:$M$3,0)+6,0))</f>
        <v/>
      </c>
      <c r="H56" s="410" t="str">
        <f>IF($H$53="No answer given","",VLOOKUP(D56,Matrix!$C$4:$M$20,MATCH($H$53,Matrix!$I$3:$M$3,0)+6,0))</f>
        <v/>
      </c>
      <c r="I56" s="392"/>
      <c r="M56" s="476"/>
      <c r="N56" s="476"/>
      <c r="O56" s="476"/>
    </row>
    <row r="57" spans="1:15" ht="129.75" customHeight="1" x14ac:dyDescent="0.2">
      <c r="A57" s="392"/>
      <c r="B57" s="478"/>
      <c r="C57" s="479" t="s">
        <v>254</v>
      </c>
      <c r="D57" s="390" t="s">
        <v>255</v>
      </c>
      <c r="E57" s="473" t="s">
        <v>440</v>
      </c>
      <c r="F57" s="473" t="s">
        <v>251</v>
      </c>
      <c r="G57" s="410" t="str">
        <f>IF($G$53="No answer given","",VLOOKUP(D57,Matrix!$C$4:$M$20,MATCH($G$53,Matrix!$I$3:$M$3,0)+6,0))</f>
        <v/>
      </c>
      <c r="H57" s="410" t="str">
        <f>IF($H$53="No answer given","",VLOOKUP(D57,Matrix!$C$4:$M$20,MATCH($H$53,Matrix!$I$3:$M$3,0)+6,0))</f>
        <v/>
      </c>
      <c r="I57" s="392"/>
      <c r="M57" s="476"/>
      <c r="N57" s="476"/>
      <c r="O57" s="476"/>
    </row>
    <row r="58" spans="1:15" ht="141" customHeight="1" x14ac:dyDescent="0.2">
      <c r="A58" s="392"/>
      <c r="B58" s="478"/>
      <c r="C58" s="479"/>
      <c r="D58" s="390" t="s">
        <v>577</v>
      </c>
      <c r="E58" s="473"/>
      <c r="F58" s="473"/>
      <c r="G58" s="410" t="str">
        <f>IF($G$53="No answer given","",VLOOKUP(D58,Matrix!$C$4:$M$20,MATCH($G$53,Matrix!$I$3:$M$3,0)+6,0))</f>
        <v/>
      </c>
      <c r="H58" s="410" t="str">
        <f>IF($H$53="No answer given","",VLOOKUP(D58,Matrix!$C$4:$M$20,MATCH($H$53,Matrix!$I$3:$M$3,0)+6,0))</f>
        <v/>
      </c>
      <c r="I58" s="392"/>
      <c r="M58" s="476"/>
      <c r="N58" s="476"/>
      <c r="O58" s="476"/>
    </row>
    <row r="59" spans="1:15" ht="65.45" customHeight="1" x14ac:dyDescent="0.2">
      <c r="A59" s="392"/>
      <c r="B59" s="478"/>
      <c r="C59" s="479"/>
      <c r="D59" s="390" t="s">
        <v>181</v>
      </c>
      <c r="E59" s="473" t="s">
        <v>648</v>
      </c>
      <c r="F59" s="473"/>
      <c r="G59" s="410" t="str">
        <f>IF($G$53="No answer given","",VLOOKUP(D59,Matrix!$C$4:$M$20,MATCH($G$53,Matrix!$I$3:$M$3,0)+6,0))</f>
        <v/>
      </c>
      <c r="H59" s="410" t="str">
        <f>IF($H$53="No answer given","",VLOOKUP(D59,Matrix!$C$4:$M$20,MATCH($H$53,Matrix!$I$3:$M$3,0)+6,0))</f>
        <v/>
      </c>
      <c r="I59" s="392"/>
      <c r="M59" s="476"/>
      <c r="N59" s="476"/>
      <c r="O59" s="476"/>
    </row>
    <row r="60" spans="1:15" ht="249.75" customHeight="1" x14ac:dyDescent="0.2">
      <c r="A60" s="392"/>
      <c r="B60" s="478"/>
      <c r="C60" s="479"/>
      <c r="D60" s="390" t="s">
        <v>494</v>
      </c>
      <c r="E60" s="473"/>
      <c r="F60" s="473"/>
      <c r="G60" s="410" t="str">
        <f>IF($G$53="No answer given","",VLOOKUP(D60,Matrix!$C$4:$M$20,MATCH($G$53,Matrix!$I$3:$M$3,0)+6,0))</f>
        <v/>
      </c>
      <c r="H60" s="410" t="str">
        <f>IF($H$53="No answer given","",VLOOKUP(D60,Matrix!$C$4:$M$20,MATCH($H$53,Matrix!$I$3:$M$3,0)+6,0))</f>
        <v/>
      </c>
      <c r="I60" s="392"/>
      <c r="M60" s="476"/>
      <c r="N60" s="476"/>
      <c r="O60" s="476"/>
    </row>
    <row r="61" spans="1:15" ht="51.6" customHeight="1" x14ac:dyDescent="0.2">
      <c r="A61" s="392"/>
      <c r="B61" s="478"/>
      <c r="C61" s="479" t="s">
        <v>256</v>
      </c>
      <c r="D61" s="405" t="s">
        <v>579</v>
      </c>
      <c r="E61" s="473" t="s">
        <v>257</v>
      </c>
      <c r="F61" s="473" t="s">
        <v>251</v>
      </c>
      <c r="G61" s="410" t="str">
        <f>IF($G$53="No answer given","",VLOOKUP(D61,Matrix!$C$4:$M$20,MATCH($G$53,Matrix!$I$3:$M$3,0)+6,0))</f>
        <v/>
      </c>
      <c r="H61" s="410" t="str">
        <f>IF($H$53="No answer given","",VLOOKUP(D61,Matrix!$C$4:$M$20,MATCH($H$53,Matrix!$I$3:$M$3,0)+6,0))</f>
        <v/>
      </c>
      <c r="I61" s="392"/>
      <c r="M61" s="476"/>
      <c r="N61" s="476"/>
      <c r="O61" s="476"/>
    </row>
    <row r="62" spans="1:15" ht="45.95" customHeight="1" x14ac:dyDescent="0.2">
      <c r="A62" s="392"/>
      <c r="B62" s="478"/>
      <c r="C62" s="479"/>
      <c r="D62" s="405" t="s">
        <v>580</v>
      </c>
      <c r="E62" s="473"/>
      <c r="F62" s="473"/>
      <c r="G62" s="410" t="str">
        <f>IF($G$53="No answer given","",VLOOKUP(D62,Matrix!$C$4:$M$20,MATCH($G$53,Matrix!$I$3:$M$3,0)+6,0))</f>
        <v/>
      </c>
      <c r="H62" s="410" t="str">
        <f>IF($H$53="No answer given","",VLOOKUP(D62,Matrix!$C$4:$M$20,MATCH($H$53,Matrix!$I$3:$M$3,0)+6,0))</f>
        <v/>
      </c>
      <c r="I62" s="392"/>
      <c r="M62" s="476"/>
      <c r="N62" s="476"/>
      <c r="O62" s="476"/>
    </row>
    <row r="63" spans="1:15" ht="78" customHeight="1" x14ac:dyDescent="0.2">
      <c r="A63" s="392"/>
      <c r="B63" s="478"/>
      <c r="C63" s="479"/>
      <c r="D63" s="405" t="s">
        <v>581</v>
      </c>
      <c r="E63" s="473"/>
      <c r="F63" s="390" t="s">
        <v>253</v>
      </c>
      <c r="G63" s="410" t="str">
        <f>IF($G$53="No answer given","",VLOOKUP(D63,Matrix!$C$4:$M$20,MATCH($G$53,Matrix!$I$3:$M$3,0)+6,0))</f>
        <v/>
      </c>
      <c r="H63" s="410" t="str">
        <f>IF($H$53="No answer given","",VLOOKUP(D63,Matrix!$C$4:$M$20,MATCH($H$53,Matrix!$I$3:$M$3,0)+6,0))</f>
        <v/>
      </c>
      <c r="I63" s="392"/>
      <c r="M63" s="476"/>
      <c r="N63" s="476"/>
      <c r="O63" s="476"/>
    </row>
    <row r="64" spans="1:15" ht="113.25" customHeight="1" x14ac:dyDescent="0.2">
      <c r="A64" s="392"/>
      <c r="B64" s="478"/>
      <c r="C64" s="479" t="s">
        <v>259</v>
      </c>
      <c r="D64" s="390" t="s">
        <v>188</v>
      </c>
      <c r="E64" s="473" t="s">
        <v>441</v>
      </c>
      <c r="F64" s="473" t="s">
        <v>260</v>
      </c>
      <c r="G64" s="410" t="str">
        <f>IF($G$53="No answer given","",VLOOKUP(D64,Matrix!$C$4:$M$20,MATCH($G$53,Matrix!$I$3:$M$3,0)+6,0))</f>
        <v/>
      </c>
      <c r="H64" s="410" t="str">
        <f>IF($H$53="No answer given","",VLOOKUP(D64,Matrix!$C$4:$M$20,MATCH($H$53,Matrix!$I$3:$M$3,0)+6,0))</f>
        <v/>
      </c>
      <c r="I64" s="392"/>
      <c r="M64" s="476"/>
      <c r="N64" s="476"/>
      <c r="O64" s="476"/>
    </row>
    <row r="65" spans="1:15" ht="52.5" customHeight="1" x14ac:dyDescent="0.2">
      <c r="A65" s="392"/>
      <c r="B65" s="478"/>
      <c r="C65" s="479"/>
      <c r="D65" s="390" t="s">
        <v>192</v>
      </c>
      <c r="E65" s="473"/>
      <c r="F65" s="473"/>
      <c r="G65" s="410" t="str">
        <f>IF($G$53="No answer given","",VLOOKUP(D65,Matrix!$C$4:$M$20,MATCH($G$53,Matrix!$I$3:$M$3,0)+6,0))</f>
        <v/>
      </c>
      <c r="H65" s="410" t="str">
        <f>IF($H$53="No answer given","",VLOOKUP(D65,Matrix!$C$4:$M$20,MATCH($H$53,Matrix!$I$3:$M$3,0)+6,0))</f>
        <v/>
      </c>
      <c r="I65" s="392"/>
      <c r="M65" s="39"/>
      <c r="N65" s="39"/>
      <c r="O65" s="39"/>
    </row>
    <row r="66" spans="1:15" ht="49.5" customHeight="1" x14ac:dyDescent="0.2">
      <c r="A66" s="392"/>
      <c r="B66" s="478"/>
      <c r="C66" s="479"/>
      <c r="D66" s="390" t="s">
        <v>197</v>
      </c>
      <c r="E66" s="473"/>
      <c r="F66" s="473"/>
      <c r="G66" s="410" t="str">
        <f>IF($G$53="No answer given","",VLOOKUP(D66,Matrix!$C$4:$M$20,MATCH($G$53,Matrix!$I$3:$M$3,0)+6,0))</f>
        <v/>
      </c>
      <c r="H66" s="410" t="str">
        <f>IF($H$53="No answer given","",VLOOKUP(D66,Matrix!$C$4:$M$20,MATCH($H$53,Matrix!$I$3:$M$3,0)+6,0))</f>
        <v/>
      </c>
      <c r="I66" s="392"/>
      <c r="M66" s="39"/>
      <c r="N66" s="39"/>
      <c r="O66" s="39"/>
    </row>
    <row r="67" spans="1:15" ht="59.25" customHeight="1" x14ac:dyDescent="0.2">
      <c r="A67" s="392"/>
      <c r="B67" s="478"/>
      <c r="C67" s="479"/>
      <c r="D67" s="390" t="s">
        <v>261</v>
      </c>
      <c r="E67" s="473"/>
      <c r="F67" s="473"/>
      <c r="G67" s="410" t="str">
        <f>IF($G$53="No answer given","",VLOOKUP(D67,Matrix!$C$4:$M$20,MATCH($G$53,Matrix!$I$3:$M$3,0)+6,0))</f>
        <v/>
      </c>
      <c r="H67" s="410" t="str">
        <f>IF($H$53="No answer given","",VLOOKUP(D67,Matrix!$C$4:$M$20,MATCH($H$53,Matrix!$I$3:$M$3,0)+6,0))</f>
        <v/>
      </c>
      <c r="I67" s="392"/>
      <c r="M67" s="39"/>
      <c r="N67" s="39"/>
      <c r="O67" s="39"/>
    </row>
    <row r="68" spans="1:15" ht="114" customHeight="1" x14ac:dyDescent="0.2">
      <c r="A68" s="392"/>
      <c r="B68" s="478"/>
      <c r="C68" s="479"/>
      <c r="D68" s="390" t="s">
        <v>643</v>
      </c>
      <c r="E68" s="473"/>
      <c r="F68" s="473"/>
      <c r="G68" s="410" t="str">
        <f>IF($G$53="No answer given","",VLOOKUP(D68,Matrix!$C$4:$M$20,MATCH($G$53,Matrix!$I$3:$M$3,0)+6,0))</f>
        <v/>
      </c>
      <c r="H68" s="410" t="str">
        <f>IF($H$53="No answer given","",VLOOKUP(D68,Matrix!$C$4:$M$20,MATCH($H$53,Matrix!$I$3:$M$3,0)+6,0))</f>
        <v/>
      </c>
      <c r="I68" s="392"/>
      <c r="M68" s="39"/>
      <c r="N68" s="39"/>
      <c r="O68" s="39"/>
    </row>
    <row r="69" spans="1:15" ht="36.950000000000003" customHeight="1" x14ac:dyDescent="0.2">
      <c r="A69" s="392"/>
      <c r="B69" s="478"/>
      <c r="C69" s="479" t="s">
        <v>262</v>
      </c>
      <c r="D69" s="390" t="s">
        <v>206</v>
      </c>
      <c r="E69" s="473" t="s">
        <v>263</v>
      </c>
      <c r="F69" s="473" t="s">
        <v>251</v>
      </c>
      <c r="G69" s="410" t="str">
        <f>IF($G$53="No answer given","",VLOOKUP(D69,Matrix!$C$4:$M$20,MATCH($G$53,Matrix!$I$3:$M$3,0)+6,0))</f>
        <v/>
      </c>
      <c r="H69" s="410" t="str">
        <f>IF($H$53="No answer given","",VLOOKUP(D69,Matrix!$C$4:$M$20,MATCH($H$53,Matrix!$I$3:$M$3,0)+6,0))</f>
        <v/>
      </c>
      <c r="I69" s="392"/>
    </row>
    <row r="70" spans="1:15" ht="174" customHeight="1" x14ac:dyDescent="0.2">
      <c r="A70" s="392"/>
      <c r="B70" s="478"/>
      <c r="C70" s="479"/>
      <c r="D70" s="390" t="s">
        <v>479</v>
      </c>
      <c r="E70" s="473"/>
      <c r="F70" s="473"/>
      <c r="G70" s="410" t="str">
        <f>IF($G$53="No answer given","",VLOOKUP(D70,Matrix!$C$4:$M$20,MATCH($G$53,Matrix!$I$3:$M$3,0)+6,0))</f>
        <v/>
      </c>
      <c r="H70" s="410" t="str">
        <f>IF($H$53="No answer given","",VLOOKUP(D70,Matrix!$C$4:$M$20,MATCH($H$53,Matrix!$I$3:$M$3,0)+6,0))</f>
        <v/>
      </c>
      <c r="I70" s="392"/>
    </row>
    <row r="71" spans="1:15" ht="25.5" customHeight="1" x14ac:dyDescent="0.2">
      <c r="A71" s="392"/>
      <c r="B71" s="392"/>
      <c r="C71" s="492" t="s">
        <v>552</v>
      </c>
      <c r="D71" s="492"/>
      <c r="E71" s="492"/>
      <c r="F71" s="492"/>
      <c r="G71" s="411">
        <f>COUNTIF(G54:G70,"X")</f>
        <v>0</v>
      </c>
      <c r="H71" s="411">
        <f>COUNTIF(H54:H70,"X")</f>
        <v>0</v>
      </c>
      <c r="I71" s="392"/>
    </row>
    <row r="72" spans="1:15" ht="33.75" customHeight="1" x14ac:dyDescent="0.2">
      <c r="A72" s="392"/>
      <c r="B72" s="392"/>
      <c r="C72" s="392"/>
      <c r="D72" s="392"/>
      <c r="E72" s="392"/>
      <c r="F72" s="392"/>
      <c r="G72" s="392"/>
      <c r="H72" s="392"/>
      <c r="I72" s="392"/>
    </row>
  </sheetData>
  <sheetProtection algorithmName="SHA-512" hashValue="NhonLVApUkX3LXZDg77sNYg/TsmxyNV9fyDqrISgi1QZKC7ruzaqqrllc39KzhEW8DymiwC9O/yRRbU8bGoIBQ==" saltValue="FEH1n/aHAMIsU56UwtYKyQ==" spinCount="100000" sheet="1" objects="1" scenarios="1"/>
  <protectedRanges>
    <protectedRange sqref="D19:E21" name="Range3"/>
    <protectedRange sqref="D13:E17" name="Range2"/>
    <protectedRange sqref="D5:F9" name="Range1"/>
    <protectedRange sqref="F27:H30 F32:H33 F35:H36 F38:H39 F41:H42" name="Range4"/>
  </protectedRanges>
  <mergeCells count="75">
    <mergeCell ref="C51:H51"/>
    <mergeCell ref="A1:I3"/>
    <mergeCell ref="C24:H24"/>
    <mergeCell ref="G25:H25"/>
    <mergeCell ref="G27:H27"/>
    <mergeCell ref="G29:H29"/>
    <mergeCell ref="G32:H32"/>
    <mergeCell ref="G35:H35"/>
    <mergeCell ref="G38:H38"/>
    <mergeCell ref="G41:H41"/>
    <mergeCell ref="D9:G9"/>
    <mergeCell ref="D5:G5"/>
    <mergeCell ref="C4:G4"/>
    <mergeCell ref="D6:G6"/>
    <mergeCell ref="D7:G7"/>
    <mergeCell ref="D8:G8"/>
    <mergeCell ref="E69:E70"/>
    <mergeCell ref="F52:F53"/>
    <mergeCell ref="F64:F68"/>
    <mergeCell ref="F69:F70"/>
    <mergeCell ref="C71:F71"/>
    <mergeCell ref="F54:F55"/>
    <mergeCell ref="C52:C53"/>
    <mergeCell ref="D52:D53"/>
    <mergeCell ref="E52:E53"/>
    <mergeCell ref="F57:F60"/>
    <mergeCell ref="F61:F62"/>
    <mergeCell ref="G36:H36"/>
    <mergeCell ref="D46:G46"/>
    <mergeCell ref="D45:G45"/>
    <mergeCell ref="C37:H37"/>
    <mergeCell ref="C40:H40"/>
    <mergeCell ref="C38:C39"/>
    <mergeCell ref="D38:E39"/>
    <mergeCell ref="G39:H39"/>
    <mergeCell ref="C41:C42"/>
    <mergeCell ref="G42:H42"/>
    <mergeCell ref="B51:B70"/>
    <mergeCell ref="C64:C68"/>
    <mergeCell ref="D48:G48"/>
    <mergeCell ref="D49:G49"/>
    <mergeCell ref="D25:E25"/>
    <mergeCell ref="D47:G47"/>
    <mergeCell ref="C69:C70"/>
    <mergeCell ref="C61:C63"/>
    <mergeCell ref="C57:C60"/>
    <mergeCell ref="C54:C56"/>
    <mergeCell ref="B45:B49"/>
    <mergeCell ref="C44:G44"/>
    <mergeCell ref="G28:H28"/>
    <mergeCell ref="C34:H34"/>
    <mergeCell ref="C35:C36"/>
    <mergeCell ref="D35:E36"/>
    <mergeCell ref="M54:O64"/>
    <mergeCell ref="E57:E58"/>
    <mergeCell ref="E54:E56"/>
    <mergeCell ref="E59:E60"/>
    <mergeCell ref="E61:E63"/>
    <mergeCell ref="E64:E68"/>
    <mergeCell ref="B13:B21"/>
    <mergeCell ref="C11:E11"/>
    <mergeCell ref="B4:B9"/>
    <mergeCell ref="D27:E28"/>
    <mergeCell ref="C27:C30"/>
    <mergeCell ref="D29:E30"/>
    <mergeCell ref="B26:B42"/>
    <mergeCell ref="D41:E42"/>
    <mergeCell ref="D18:E18"/>
    <mergeCell ref="I24:I27"/>
    <mergeCell ref="G30:H30"/>
    <mergeCell ref="C32:C33"/>
    <mergeCell ref="D32:E33"/>
    <mergeCell ref="G33:H33"/>
    <mergeCell ref="C26:H26"/>
    <mergeCell ref="C31:H31"/>
  </mergeCells>
  <conditionalFormatting sqref="J54:J70">
    <cfRule type="cellIs" dxfId="110" priority="16" operator="equal">
      <formula>0</formula>
    </cfRule>
    <cfRule type="cellIs" dxfId="109" priority="17" operator="equal">
      <formula>"X"</formula>
    </cfRule>
  </conditionalFormatting>
  <conditionalFormatting sqref="K54:K70">
    <cfRule type="containsText" dxfId="108" priority="14" operator="containsText" text="0">
      <formula>NOT(ISERROR(SEARCH("0",K54)))</formula>
    </cfRule>
    <cfRule type="cellIs" dxfId="107" priority="15" operator="equal">
      <formula>"X"</formula>
    </cfRule>
  </conditionalFormatting>
  <conditionalFormatting sqref="C10:E10">
    <cfRule type="expression" dxfId="106" priority="12">
      <formula>AND(C10&lt;&gt;"",NOT(ISBLANK(C10)))</formula>
    </cfRule>
  </conditionalFormatting>
  <conditionalFormatting sqref="D14:E14">
    <cfRule type="expression" dxfId="105" priority="11">
      <formula>AND(NOT(ISBLANK(D14)),COUNTIF(INDIRECT(D13),D14)=0)</formula>
    </cfRule>
  </conditionalFormatting>
  <conditionalFormatting sqref="D17:E17">
    <cfRule type="expression" dxfId="104" priority="10">
      <formula>AND(NOT(ISBLANK(D17)),COUNTIF(INDIRECT(SUBSTITUTE(D16," ","_")),D17) = 0)</formula>
    </cfRule>
  </conditionalFormatting>
  <conditionalFormatting sqref="D22:E22">
    <cfRule type="expression" dxfId="103" priority="5">
      <formula>OR(D$21="Yes",D$21="No")</formula>
    </cfRule>
  </conditionalFormatting>
  <conditionalFormatting sqref="G54:H70">
    <cfRule type="cellIs" dxfId="102" priority="2" operator="equal">
      <formula>"x"</formula>
    </cfRule>
    <cfRule type="cellIs" dxfId="101" priority="1" operator="equal">
      <formula>0</formula>
    </cfRule>
  </conditionalFormatting>
  <dataValidations count="6">
    <dataValidation type="list" allowBlank="1" showInputMessage="1" showErrorMessage="1" sqref="D14" xr:uid="{D5449DA7-7D30-4EB5-9B16-902337F6E801}">
      <formula1>INDIRECT($D$13)</formula1>
    </dataValidation>
    <dataValidation type="list" allowBlank="1" showInputMessage="1" showErrorMessage="1" sqref="E14" xr:uid="{01E60B8E-15C4-422F-87B1-2B7233797A86}">
      <formula1>INDIRECT($E$13)</formula1>
    </dataValidation>
    <dataValidation type="list" allowBlank="1" showInputMessage="1" showErrorMessage="1" sqref="D16:E16" xr:uid="{1C2B841C-8407-4C03-BDFA-E8541D943B50}">
      <formula1>Orginal_Biomass_Source</formula1>
    </dataValidation>
    <dataValidation type="list" allowBlank="1" showInputMessage="1" showErrorMessage="1" sqref="D15:E15" xr:uid="{58413739-14A1-4A4F-B847-0D169197A672}">
      <formula1>Treatment</formula1>
    </dataValidation>
    <dataValidation type="list" allowBlank="1" showInputMessage="1" showErrorMessage="1" sqref="D13:E13" xr:uid="{38A50408-65DF-44EF-889C-8EEA7C187D89}">
      <formula1>Final_Product_type</formula1>
    </dataValidation>
    <dataValidation type="list" allowBlank="1" showInputMessage="1" showErrorMessage="1" sqref="D17:E18" xr:uid="{CA389C77-81D2-41D1-A7D8-FB05CC59CDDD}">
      <formula1>INDIRECT(SUBSTITUTE(D16, " ","_"))</formula1>
    </dataValidation>
  </dataValidations>
  <pageMargins left="0.7" right="0.7" top="0.75" bottom="0.75" header="0.3" footer="0.3"/>
  <pageSetup orientation="portrait" r:id="rId1"/>
  <rowBreaks count="1" manualBreakCount="1">
    <brk id="50" max="16383" man="1"/>
  </rowBreaks>
  <colBreaks count="1" manualBreakCount="1">
    <brk id="8" max="1048575"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447085-8AB5-4D87-A7BD-C64165F65307}">
          <x14:formula1>
            <xm:f>Lists!$C$39:$C$40</xm:f>
          </x14:formula1>
          <xm:sqref>D20:E21 F35:F36 F32:F33 F38:F39 F27:F30 F41:F43</xm:sqref>
        </x14:dataValidation>
        <x14:dataValidation type="list" allowBlank="1" showInputMessage="1" showErrorMessage="1" xr:uid="{90C45AAA-2263-49D4-87C2-2859A7C450DE}">
          <x14:formula1>
            <xm:f>Lists!$G$3:$G$4</xm:f>
          </x14:formula1>
          <xm:sqref>D19:E19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656ED-A94C-4ED5-9B1B-FE4FDD75BE3A}">
  <sheetPr codeName="Sheet3"/>
  <dimension ref="A1:M82"/>
  <sheetViews>
    <sheetView zoomScale="55" zoomScaleNormal="55" workbookViewId="0">
      <selection activeCell="A16" sqref="A16:XFD16"/>
    </sheetView>
  </sheetViews>
  <sheetFormatPr defaultRowHeight="15" x14ac:dyDescent="0.25"/>
  <cols>
    <col min="1" max="1" width="57.42578125" customWidth="1"/>
    <col min="2" max="2" width="13.42578125" customWidth="1"/>
    <col min="3" max="3" width="51.28515625" customWidth="1"/>
    <col min="4" max="4" width="21.5703125" customWidth="1"/>
    <col min="5" max="5" width="20.140625" customWidth="1"/>
    <col min="6" max="6" width="41.85546875" customWidth="1"/>
    <col min="7" max="7" width="45.85546875" customWidth="1"/>
    <col min="8" max="8" width="24" customWidth="1"/>
    <col min="9" max="9" width="64.85546875" customWidth="1"/>
    <col min="10" max="10" width="23.140625" customWidth="1"/>
    <col min="11" max="11" width="11.5703125" customWidth="1"/>
  </cols>
  <sheetData>
    <row r="1" spans="3:13" x14ac:dyDescent="0.25">
      <c r="C1" t="s">
        <v>87</v>
      </c>
      <c r="D1" t="s">
        <v>88</v>
      </c>
      <c r="E1" t="s">
        <v>89</v>
      </c>
      <c r="F1" t="s">
        <v>90</v>
      </c>
      <c r="J1" t="s">
        <v>91</v>
      </c>
    </row>
    <row r="2" spans="3:13" x14ac:dyDescent="0.25">
      <c r="C2" t="s">
        <v>92</v>
      </c>
      <c r="D2" t="s">
        <v>93</v>
      </c>
      <c r="E2" t="s">
        <v>94</v>
      </c>
      <c r="F2" t="s">
        <v>95</v>
      </c>
      <c r="G2" t="s">
        <v>473</v>
      </c>
      <c r="J2" t="s">
        <v>96</v>
      </c>
    </row>
    <row r="3" spans="3:13" x14ac:dyDescent="0.25">
      <c r="C3" t="s">
        <v>93</v>
      </c>
      <c r="D3" t="s">
        <v>97</v>
      </c>
      <c r="E3" t="s">
        <v>98</v>
      </c>
      <c r="F3" t="s">
        <v>99</v>
      </c>
      <c r="G3" t="s">
        <v>474</v>
      </c>
      <c r="J3" t="s">
        <v>100</v>
      </c>
      <c r="L3" t="s">
        <v>101</v>
      </c>
    </row>
    <row r="4" spans="3:13" x14ac:dyDescent="0.25">
      <c r="C4" t="s">
        <v>94</v>
      </c>
      <c r="D4" t="s">
        <v>102</v>
      </c>
      <c r="E4" t="s">
        <v>103</v>
      </c>
      <c r="F4" t="s">
        <v>104</v>
      </c>
      <c r="G4" t="s">
        <v>475</v>
      </c>
      <c r="J4" t="s">
        <v>105</v>
      </c>
      <c r="L4" t="s">
        <v>106</v>
      </c>
    </row>
    <row r="5" spans="3:13" x14ac:dyDescent="0.25">
      <c r="C5" t="s">
        <v>95</v>
      </c>
      <c r="D5" t="s">
        <v>107</v>
      </c>
      <c r="F5" t="s">
        <v>108</v>
      </c>
      <c r="J5" t="s">
        <v>109</v>
      </c>
      <c r="L5" t="s">
        <v>110</v>
      </c>
    </row>
    <row r="6" spans="3:13" x14ac:dyDescent="0.25">
      <c r="F6" t="s">
        <v>126</v>
      </c>
      <c r="J6" t="s">
        <v>111</v>
      </c>
      <c r="L6" t="s">
        <v>654</v>
      </c>
    </row>
    <row r="7" spans="3:13" x14ac:dyDescent="0.25">
      <c r="F7" t="s">
        <v>112</v>
      </c>
      <c r="J7" t="s">
        <v>113</v>
      </c>
    </row>
    <row r="8" spans="3:13" x14ac:dyDescent="0.25">
      <c r="F8" t="s">
        <v>114</v>
      </c>
      <c r="J8" t="s">
        <v>115</v>
      </c>
    </row>
    <row r="9" spans="3:13" x14ac:dyDescent="0.25">
      <c r="F9" t="s">
        <v>116</v>
      </c>
      <c r="J9" t="s">
        <v>117</v>
      </c>
    </row>
    <row r="10" spans="3:13" x14ac:dyDescent="0.25">
      <c r="J10" t="s">
        <v>118</v>
      </c>
    </row>
    <row r="12" spans="3:13" x14ac:dyDescent="0.25">
      <c r="C12" t="s">
        <v>119</v>
      </c>
      <c r="D12" t="s">
        <v>120</v>
      </c>
      <c r="E12" t="s">
        <v>121</v>
      </c>
      <c r="F12" t="s">
        <v>122</v>
      </c>
      <c r="G12" t="s">
        <v>123</v>
      </c>
      <c r="H12" t="s">
        <v>124</v>
      </c>
      <c r="I12" t="s">
        <v>125</v>
      </c>
    </row>
    <row r="13" spans="3:13" x14ac:dyDescent="0.25">
      <c r="C13" s="7" t="s">
        <v>655</v>
      </c>
      <c r="D13" s="8" t="s">
        <v>497</v>
      </c>
      <c r="E13" s="8"/>
      <c r="F13" s="8" t="s">
        <v>449</v>
      </c>
      <c r="G13" s="8" t="s">
        <v>450</v>
      </c>
      <c r="H13" s="8" t="s">
        <v>451</v>
      </c>
      <c r="I13" s="9" t="s">
        <v>452</v>
      </c>
      <c r="M13" t="s">
        <v>127</v>
      </c>
    </row>
    <row r="14" spans="3:13" x14ac:dyDescent="0.25">
      <c r="C14" t="s">
        <v>497</v>
      </c>
      <c r="D14" t="s">
        <v>128</v>
      </c>
      <c r="F14" t="s">
        <v>129</v>
      </c>
      <c r="G14" t="s">
        <v>483</v>
      </c>
      <c r="H14" t="s">
        <v>131</v>
      </c>
      <c r="I14" t="s">
        <v>132</v>
      </c>
      <c r="M14" t="s">
        <v>133</v>
      </c>
    </row>
    <row r="15" spans="3:13" x14ac:dyDescent="0.25">
      <c r="C15" t="s">
        <v>449</v>
      </c>
      <c r="D15" t="s">
        <v>134</v>
      </c>
      <c r="F15" t="s">
        <v>135</v>
      </c>
      <c r="G15" t="s">
        <v>130</v>
      </c>
      <c r="H15" t="s">
        <v>137</v>
      </c>
      <c r="I15" t="s">
        <v>138</v>
      </c>
      <c r="M15" t="s">
        <v>139</v>
      </c>
    </row>
    <row r="16" spans="3:13" x14ac:dyDescent="0.25">
      <c r="C16" t="s">
        <v>450</v>
      </c>
      <c r="D16" t="s">
        <v>140</v>
      </c>
      <c r="F16" t="s">
        <v>656</v>
      </c>
      <c r="G16" t="s">
        <v>136</v>
      </c>
      <c r="H16" t="s">
        <v>141</v>
      </c>
      <c r="I16" t="s">
        <v>142</v>
      </c>
      <c r="M16" t="s">
        <v>143</v>
      </c>
    </row>
    <row r="17" spans="3:13" x14ac:dyDescent="0.25">
      <c r="C17" t="s">
        <v>451</v>
      </c>
      <c r="D17" t="s">
        <v>144</v>
      </c>
      <c r="F17" t="s">
        <v>145</v>
      </c>
      <c r="G17" t="s">
        <v>146</v>
      </c>
      <c r="H17" t="s">
        <v>147</v>
      </c>
      <c r="I17" t="s">
        <v>146</v>
      </c>
      <c r="M17" t="s">
        <v>148</v>
      </c>
    </row>
    <row r="18" spans="3:13" x14ac:dyDescent="0.25">
      <c r="C18" t="s">
        <v>452</v>
      </c>
      <c r="D18" t="s">
        <v>149</v>
      </c>
      <c r="F18" t="s">
        <v>150</v>
      </c>
      <c r="H18" t="s">
        <v>151</v>
      </c>
    </row>
    <row r="19" spans="3:13" x14ac:dyDescent="0.25">
      <c r="D19" t="s">
        <v>152</v>
      </c>
      <c r="F19" t="s">
        <v>146</v>
      </c>
      <c r="H19" t="s">
        <v>153</v>
      </c>
    </row>
    <row r="20" spans="3:13" x14ac:dyDescent="0.25">
      <c r="D20" t="s">
        <v>154</v>
      </c>
      <c r="H20" t="s">
        <v>146</v>
      </c>
    </row>
    <row r="21" spans="3:13" x14ac:dyDescent="0.25">
      <c r="D21" t="s">
        <v>155</v>
      </c>
    </row>
    <row r="22" spans="3:13" x14ac:dyDescent="0.25">
      <c r="D22" t="s">
        <v>156</v>
      </c>
    </row>
    <row r="23" spans="3:13" x14ac:dyDescent="0.25">
      <c r="D23" t="s">
        <v>157</v>
      </c>
    </row>
    <row r="24" spans="3:13" x14ac:dyDescent="0.25">
      <c r="D24" t="s">
        <v>146</v>
      </c>
    </row>
    <row r="25" spans="3:13" x14ac:dyDescent="0.25">
      <c r="C25" t="s">
        <v>158</v>
      </c>
    </row>
    <row r="26" spans="3:13" x14ac:dyDescent="0.25">
      <c r="C26" s="6" t="s">
        <v>96</v>
      </c>
    </row>
    <row r="27" spans="3:13" x14ac:dyDescent="0.25">
      <c r="C27" t="s">
        <v>100</v>
      </c>
    </row>
    <row r="28" spans="3:13" x14ac:dyDescent="0.25">
      <c r="C28" t="s">
        <v>105</v>
      </c>
    </row>
    <row r="29" spans="3:13" x14ac:dyDescent="0.25">
      <c r="C29" t="s">
        <v>109</v>
      </c>
    </row>
    <row r="30" spans="3:13" x14ac:dyDescent="0.25">
      <c r="C30" t="s">
        <v>111</v>
      </c>
    </row>
    <row r="31" spans="3:13" x14ac:dyDescent="0.25">
      <c r="C31" t="s">
        <v>113</v>
      </c>
    </row>
    <row r="32" spans="3:13" x14ac:dyDescent="0.25">
      <c r="C32" t="s">
        <v>115</v>
      </c>
    </row>
    <row r="33" spans="1:10" x14ac:dyDescent="0.25">
      <c r="C33" t="s">
        <v>117</v>
      </c>
    </row>
    <row r="34" spans="1:10" x14ac:dyDescent="0.25">
      <c r="C34" t="s">
        <v>118</v>
      </c>
    </row>
    <row r="35" spans="1:10" x14ac:dyDescent="0.25">
      <c r="C35" t="s">
        <v>146</v>
      </c>
    </row>
    <row r="38" spans="1:10" x14ac:dyDescent="0.25">
      <c r="C38" t="s">
        <v>159</v>
      </c>
    </row>
    <row r="39" spans="1:10" x14ac:dyDescent="0.25">
      <c r="C39" t="s">
        <v>19</v>
      </c>
    </row>
    <row r="40" spans="1:10" x14ac:dyDescent="0.25">
      <c r="C40" t="s">
        <v>23</v>
      </c>
      <c r="G40" s="168" t="s">
        <v>160</v>
      </c>
    </row>
    <row r="41" spans="1:10" x14ac:dyDescent="0.25">
      <c r="C41" s="3"/>
    </row>
    <row r="42" spans="1:10" ht="15.75" x14ac:dyDescent="0.25">
      <c r="A42" t="s">
        <v>161</v>
      </c>
      <c r="C42" s="3" t="s">
        <v>162</v>
      </c>
      <c r="D42" t="s">
        <v>163</v>
      </c>
      <c r="E42" t="s">
        <v>164</v>
      </c>
      <c r="G42" s="215" t="s">
        <v>161</v>
      </c>
      <c r="H42" s="215" t="s">
        <v>165</v>
      </c>
      <c r="I42" s="215" t="s">
        <v>166</v>
      </c>
    </row>
    <row r="43" spans="1:10" ht="74.099999999999994" customHeight="1" x14ac:dyDescent="0.25">
      <c r="A43" s="31" t="s">
        <v>167</v>
      </c>
      <c r="B43" s="498" t="s">
        <v>168</v>
      </c>
      <c r="C43" s="37" t="s">
        <v>550</v>
      </c>
      <c r="D43" s="181">
        <v>1</v>
      </c>
      <c r="E43" t="s">
        <v>10</v>
      </c>
      <c r="G43" s="31" t="s">
        <v>167</v>
      </c>
      <c r="H43" s="215" t="s">
        <v>530</v>
      </c>
      <c r="I43" s="37" t="s">
        <v>550</v>
      </c>
    </row>
    <row r="44" spans="1:10" ht="78.599999999999994" customHeight="1" x14ac:dyDescent="0.25">
      <c r="A44" s="31" t="s">
        <v>167</v>
      </c>
      <c r="B44" s="498"/>
      <c r="C44" s="37" t="s">
        <v>486</v>
      </c>
      <c r="D44" s="181">
        <v>1</v>
      </c>
      <c r="E44" t="s">
        <v>10</v>
      </c>
      <c r="G44" s="31" t="s">
        <v>167</v>
      </c>
      <c r="H44" s="215" t="s">
        <v>530</v>
      </c>
      <c r="I44" s="218" t="s">
        <v>486</v>
      </c>
    </row>
    <row r="45" spans="1:10" ht="75.95" customHeight="1" x14ac:dyDescent="0.25">
      <c r="A45" s="31" t="s">
        <v>167</v>
      </c>
      <c r="B45" s="499"/>
      <c r="C45" s="236" t="s">
        <v>583</v>
      </c>
      <c r="D45" s="181">
        <v>1</v>
      </c>
      <c r="E45" t="s">
        <v>10</v>
      </c>
      <c r="G45" s="31" t="s">
        <v>167</v>
      </c>
      <c r="H45" s="215" t="s">
        <v>530</v>
      </c>
      <c r="I45" s="236" t="s">
        <v>583</v>
      </c>
      <c r="J45">
        <v>1</v>
      </c>
    </row>
    <row r="46" spans="1:10" ht="30" x14ac:dyDescent="0.25">
      <c r="A46" s="109" t="s">
        <v>169</v>
      </c>
      <c r="B46" s="156" t="s">
        <v>173</v>
      </c>
      <c r="C46" s="109" t="s">
        <v>446</v>
      </c>
      <c r="D46" s="181">
        <v>1</v>
      </c>
      <c r="E46" t="s">
        <v>10</v>
      </c>
      <c r="G46" s="215" t="s">
        <v>169</v>
      </c>
      <c r="H46" s="215" t="s">
        <v>170</v>
      </c>
      <c r="I46" s="37" t="s">
        <v>446</v>
      </c>
      <c r="J46">
        <v>1</v>
      </c>
    </row>
    <row r="47" spans="1:10" ht="45" x14ac:dyDescent="0.25">
      <c r="A47" s="104" t="s">
        <v>169</v>
      </c>
      <c r="B47" s="155" t="s">
        <v>173</v>
      </c>
      <c r="C47" s="141" t="s">
        <v>174</v>
      </c>
      <c r="D47" s="181">
        <v>1</v>
      </c>
      <c r="G47" s="215" t="s">
        <v>169</v>
      </c>
      <c r="H47" s="215" t="s">
        <v>170</v>
      </c>
      <c r="I47" s="141" t="s">
        <v>174</v>
      </c>
      <c r="J47">
        <v>2</v>
      </c>
    </row>
    <row r="48" spans="1:10" ht="89.1" customHeight="1" x14ac:dyDescent="0.25">
      <c r="A48" s="31" t="s">
        <v>171</v>
      </c>
      <c r="B48" s="155" t="s">
        <v>177</v>
      </c>
      <c r="C48" s="66" t="s">
        <v>454</v>
      </c>
      <c r="D48" s="181">
        <v>1</v>
      </c>
      <c r="E48" t="s">
        <v>9</v>
      </c>
      <c r="G48" s="215" t="s">
        <v>171</v>
      </c>
      <c r="H48" s="215" t="s">
        <v>172</v>
      </c>
      <c r="I48" s="66" t="s">
        <v>454</v>
      </c>
      <c r="J48">
        <v>1</v>
      </c>
    </row>
    <row r="49" spans="1:10" ht="121.5" customHeight="1" x14ac:dyDescent="0.25">
      <c r="A49" s="109" t="s">
        <v>171</v>
      </c>
      <c r="B49" s="156" t="s">
        <v>177</v>
      </c>
      <c r="C49" s="208" t="s">
        <v>584</v>
      </c>
      <c r="D49" s="181">
        <v>1</v>
      </c>
      <c r="G49" s="215" t="s">
        <v>171</v>
      </c>
      <c r="H49" s="215" t="s">
        <v>172</v>
      </c>
      <c r="I49" s="208" t="s">
        <v>584</v>
      </c>
      <c r="J49">
        <v>1</v>
      </c>
    </row>
    <row r="50" spans="1:10" ht="68.45" customHeight="1" x14ac:dyDescent="0.25">
      <c r="A50" s="109" t="s">
        <v>171</v>
      </c>
      <c r="B50" s="156" t="s">
        <v>177</v>
      </c>
      <c r="C50" s="208" t="s">
        <v>531</v>
      </c>
      <c r="D50" s="181">
        <v>1</v>
      </c>
      <c r="G50" s="215" t="s">
        <v>171</v>
      </c>
      <c r="H50" s="215" t="s">
        <v>172</v>
      </c>
      <c r="I50" s="31" t="s">
        <v>531</v>
      </c>
      <c r="J50">
        <v>2</v>
      </c>
    </row>
    <row r="51" spans="1:10" ht="60.75" x14ac:dyDescent="0.25">
      <c r="A51" s="159" t="s">
        <v>175</v>
      </c>
      <c r="B51" s="156" t="s">
        <v>180</v>
      </c>
      <c r="C51" s="237" t="s">
        <v>585</v>
      </c>
      <c r="D51" s="181">
        <v>1</v>
      </c>
      <c r="G51" s="216" t="s">
        <v>175</v>
      </c>
      <c r="H51" s="215" t="s">
        <v>176</v>
      </c>
      <c r="I51" s="237" t="s">
        <v>585</v>
      </c>
      <c r="J51">
        <v>2</v>
      </c>
    </row>
    <row r="52" spans="1:10" ht="69.599999999999994" customHeight="1" x14ac:dyDescent="0.25">
      <c r="A52" s="33" t="s">
        <v>175</v>
      </c>
      <c r="B52" s="202" t="s">
        <v>180</v>
      </c>
      <c r="C52" s="208" t="s">
        <v>598</v>
      </c>
      <c r="D52" s="181">
        <v>2</v>
      </c>
      <c r="E52" t="s">
        <v>9</v>
      </c>
      <c r="F52" t="s">
        <v>453</v>
      </c>
      <c r="G52" s="216" t="s">
        <v>175</v>
      </c>
      <c r="H52" s="215" t="s">
        <v>176</v>
      </c>
      <c r="I52" s="208" t="s">
        <v>598</v>
      </c>
      <c r="J52">
        <v>1</v>
      </c>
    </row>
    <row r="53" spans="1:10" ht="60" x14ac:dyDescent="0.25">
      <c r="A53" s="45" t="s">
        <v>577</v>
      </c>
      <c r="B53" s="500" t="s">
        <v>183</v>
      </c>
      <c r="C53" s="141" t="s">
        <v>586</v>
      </c>
      <c r="D53" s="181">
        <v>2</v>
      </c>
      <c r="E53" t="s">
        <v>9</v>
      </c>
      <c r="G53" s="45" t="s">
        <v>577</v>
      </c>
      <c r="H53" s="216" t="s">
        <v>179</v>
      </c>
      <c r="I53" s="141" t="s">
        <v>586</v>
      </c>
      <c r="J53">
        <v>2</v>
      </c>
    </row>
    <row r="54" spans="1:10" ht="30" x14ac:dyDescent="0.25">
      <c r="A54" s="45" t="s">
        <v>577</v>
      </c>
      <c r="B54" s="497"/>
      <c r="C54" s="141" t="s">
        <v>187</v>
      </c>
      <c r="D54" s="181">
        <v>1</v>
      </c>
      <c r="E54" t="s">
        <v>10</v>
      </c>
      <c r="G54" s="45" t="s">
        <v>577</v>
      </c>
      <c r="H54" s="216" t="s">
        <v>179</v>
      </c>
      <c r="I54" s="141" t="s">
        <v>187</v>
      </c>
      <c r="J54">
        <v>1</v>
      </c>
    </row>
    <row r="55" spans="1:10" ht="80.45" customHeight="1" x14ac:dyDescent="0.25">
      <c r="A55" s="37" t="s">
        <v>181</v>
      </c>
      <c r="B55" s="501" t="s">
        <v>190</v>
      </c>
      <c r="C55" s="236" t="s">
        <v>587</v>
      </c>
      <c r="D55" s="181">
        <v>2</v>
      </c>
      <c r="E55" t="s">
        <v>9</v>
      </c>
      <c r="G55" s="33" t="s">
        <v>181</v>
      </c>
      <c r="H55" s="33" t="s">
        <v>182</v>
      </c>
      <c r="I55" s="236" t="s">
        <v>587</v>
      </c>
      <c r="J55" s="181"/>
    </row>
    <row r="56" spans="1:10" ht="69" customHeight="1" x14ac:dyDescent="0.25">
      <c r="A56" s="37" t="s">
        <v>181</v>
      </c>
      <c r="B56" s="502"/>
      <c r="C56" s="236" t="s">
        <v>588</v>
      </c>
      <c r="D56" s="181">
        <v>1</v>
      </c>
      <c r="E56" t="s">
        <v>10</v>
      </c>
      <c r="G56" s="33" t="s">
        <v>181</v>
      </c>
      <c r="H56" s="33" t="s">
        <v>182</v>
      </c>
      <c r="I56" s="141" t="s">
        <v>588</v>
      </c>
    </row>
    <row r="57" spans="1:10" ht="69" customHeight="1" x14ac:dyDescent="0.25">
      <c r="A57" s="37" t="s">
        <v>480</v>
      </c>
      <c r="B57" s="501" t="s">
        <v>196</v>
      </c>
      <c r="C57" s="141" t="s">
        <v>599</v>
      </c>
      <c r="D57" s="181">
        <v>1</v>
      </c>
      <c r="E57" t="s">
        <v>10</v>
      </c>
      <c r="G57" s="37" t="s">
        <v>480</v>
      </c>
      <c r="H57" s="33" t="s">
        <v>513</v>
      </c>
      <c r="I57" s="141" t="s">
        <v>599</v>
      </c>
    </row>
    <row r="58" spans="1:10" ht="66.75" customHeight="1" x14ac:dyDescent="0.25">
      <c r="A58" s="37" t="s">
        <v>480</v>
      </c>
      <c r="B58" s="502"/>
      <c r="C58" s="141" t="s">
        <v>582</v>
      </c>
      <c r="D58" s="181">
        <v>2</v>
      </c>
      <c r="E58" t="s">
        <v>9</v>
      </c>
      <c r="G58" s="37" t="s">
        <v>480</v>
      </c>
      <c r="H58" s="33" t="s">
        <v>513</v>
      </c>
      <c r="I58" s="141" t="s">
        <v>582</v>
      </c>
    </row>
    <row r="59" spans="1:10" ht="90.6" customHeight="1" x14ac:dyDescent="0.25">
      <c r="A59" s="33" t="s">
        <v>579</v>
      </c>
      <c r="B59" s="142" t="s">
        <v>203</v>
      </c>
      <c r="C59" s="141" t="s">
        <v>573</v>
      </c>
      <c r="D59" s="181">
        <v>1</v>
      </c>
      <c r="E59" t="s">
        <v>10</v>
      </c>
      <c r="G59" s="33" t="s">
        <v>579</v>
      </c>
      <c r="H59" s="141" t="s">
        <v>514</v>
      </c>
      <c r="I59" s="141" t="s">
        <v>573</v>
      </c>
    </row>
    <row r="60" spans="1:10" ht="90.6" customHeight="1" x14ac:dyDescent="0.25">
      <c r="A60" s="33" t="s">
        <v>579</v>
      </c>
      <c r="B60" s="142" t="s">
        <v>203</v>
      </c>
      <c r="C60" s="236" t="s">
        <v>620</v>
      </c>
      <c r="D60" s="181">
        <v>1</v>
      </c>
      <c r="G60" s="33" t="s">
        <v>579</v>
      </c>
      <c r="H60" s="141" t="s">
        <v>514</v>
      </c>
      <c r="I60" s="236" t="s">
        <v>620</v>
      </c>
    </row>
    <row r="61" spans="1:10" ht="90.6" customHeight="1" x14ac:dyDescent="0.25">
      <c r="A61" s="33" t="s">
        <v>579</v>
      </c>
      <c r="B61" s="142" t="s">
        <v>203</v>
      </c>
      <c r="C61" s="236" t="s">
        <v>621</v>
      </c>
      <c r="D61" s="181">
        <v>1</v>
      </c>
      <c r="G61" s="33" t="s">
        <v>579</v>
      </c>
      <c r="H61" s="141" t="s">
        <v>514</v>
      </c>
      <c r="I61" s="236" t="s">
        <v>621</v>
      </c>
      <c r="J61">
        <v>1</v>
      </c>
    </row>
    <row r="62" spans="1:10" ht="96.6" customHeight="1" x14ac:dyDescent="0.25">
      <c r="A62" s="37" t="s">
        <v>204</v>
      </c>
      <c r="B62" s="142" t="s">
        <v>205</v>
      </c>
      <c r="C62" s="141" t="s">
        <v>589</v>
      </c>
      <c r="D62" s="181">
        <v>1</v>
      </c>
      <c r="E62" t="s">
        <v>10</v>
      </c>
      <c r="G62" s="37" t="s">
        <v>204</v>
      </c>
      <c r="H62" s="141" t="s">
        <v>515</v>
      </c>
      <c r="I62" s="141" t="s">
        <v>589</v>
      </c>
      <c r="J62" s="181">
        <v>2</v>
      </c>
    </row>
    <row r="63" spans="1:10" ht="96.6" customHeight="1" x14ac:dyDescent="0.25">
      <c r="A63" s="160" t="s">
        <v>204</v>
      </c>
      <c r="B63" s="241" t="s">
        <v>205</v>
      </c>
      <c r="C63" s="161" t="s">
        <v>590</v>
      </c>
      <c r="D63" s="181">
        <v>1</v>
      </c>
      <c r="G63" s="37" t="s">
        <v>204</v>
      </c>
      <c r="H63" s="141" t="s">
        <v>515</v>
      </c>
      <c r="I63" s="161" t="s">
        <v>590</v>
      </c>
      <c r="J63" s="181">
        <v>2</v>
      </c>
    </row>
    <row r="64" spans="1:10" ht="45" x14ac:dyDescent="0.25">
      <c r="A64" s="31" t="s">
        <v>184</v>
      </c>
      <c r="B64" s="155" t="s">
        <v>208</v>
      </c>
      <c r="C64" s="141" t="s">
        <v>487</v>
      </c>
      <c r="D64" s="181">
        <v>2</v>
      </c>
      <c r="E64" t="s">
        <v>9</v>
      </c>
      <c r="G64" s="216" t="s">
        <v>184</v>
      </c>
      <c r="H64" s="215" t="s">
        <v>185</v>
      </c>
      <c r="I64" s="141" t="s">
        <v>487</v>
      </c>
      <c r="J64" s="181">
        <v>1</v>
      </c>
    </row>
    <row r="65" spans="1:10" ht="60" x14ac:dyDescent="0.25">
      <c r="A65" s="109" t="s">
        <v>188</v>
      </c>
      <c r="B65" s="240" t="s">
        <v>211</v>
      </c>
      <c r="C65" s="158" t="s">
        <v>591</v>
      </c>
      <c r="D65" s="181">
        <v>2</v>
      </c>
      <c r="E65" s="197" t="s">
        <v>9</v>
      </c>
      <c r="G65" s="216" t="s">
        <v>188</v>
      </c>
      <c r="H65" s="215" t="s">
        <v>189</v>
      </c>
      <c r="I65" s="383" t="s">
        <v>591</v>
      </c>
      <c r="J65">
        <v>1</v>
      </c>
    </row>
    <row r="66" spans="1:10" ht="60" x14ac:dyDescent="0.25">
      <c r="A66" s="109" t="s">
        <v>188</v>
      </c>
      <c r="B66" s="240" t="s">
        <v>211</v>
      </c>
      <c r="C66" s="236" t="s">
        <v>191</v>
      </c>
      <c r="D66" s="181">
        <v>1</v>
      </c>
      <c r="G66" s="216" t="s">
        <v>188</v>
      </c>
      <c r="H66" s="215" t="s">
        <v>189</v>
      </c>
      <c r="I66" s="104" t="s">
        <v>532</v>
      </c>
      <c r="J66">
        <v>1</v>
      </c>
    </row>
    <row r="67" spans="1:10" ht="30" x14ac:dyDescent="0.25">
      <c r="A67" s="31" t="s">
        <v>188</v>
      </c>
      <c r="B67" s="496" t="s">
        <v>211</v>
      </c>
      <c r="C67" s="141" t="s">
        <v>212</v>
      </c>
      <c r="D67" s="181">
        <v>1</v>
      </c>
      <c r="E67" t="s">
        <v>10</v>
      </c>
      <c r="G67" s="216" t="s">
        <v>188</v>
      </c>
      <c r="H67" s="215" t="s">
        <v>189</v>
      </c>
      <c r="I67" s="212" t="s">
        <v>212</v>
      </c>
    </row>
    <row r="68" spans="1:10" ht="30" x14ac:dyDescent="0.25">
      <c r="A68" s="31" t="s">
        <v>188</v>
      </c>
      <c r="B68" s="497"/>
      <c r="C68" s="141" t="s">
        <v>213</v>
      </c>
      <c r="D68" s="181">
        <v>2</v>
      </c>
      <c r="E68" t="s">
        <v>9</v>
      </c>
      <c r="G68" s="216" t="s">
        <v>188</v>
      </c>
      <c r="H68" s="215" t="s">
        <v>189</v>
      </c>
      <c r="I68" s="212" t="s">
        <v>213</v>
      </c>
    </row>
    <row r="69" spans="1:10" ht="60" x14ac:dyDescent="0.25">
      <c r="A69" s="31" t="s">
        <v>192</v>
      </c>
      <c r="B69" s="155" t="s">
        <v>214</v>
      </c>
      <c r="C69" s="141" t="s">
        <v>592</v>
      </c>
      <c r="D69" s="181">
        <v>1</v>
      </c>
      <c r="E69" t="s">
        <v>10</v>
      </c>
      <c r="G69" s="216" t="s">
        <v>192</v>
      </c>
      <c r="H69" s="215" t="s">
        <v>193</v>
      </c>
      <c r="I69" s="141" t="s">
        <v>592</v>
      </c>
      <c r="J69">
        <v>1</v>
      </c>
    </row>
    <row r="70" spans="1:10" ht="45" x14ac:dyDescent="0.25">
      <c r="A70" s="31" t="s">
        <v>197</v>
      </c>
      <c r="B70" s="155" t="s">
        <v>215</v>
      </c>
      <c r="C70" s="141" t="s">
        <v>443</v>
      </c>
      <c r="D70" s="181">
        <v>1</v>
      </c>
      <c r="E70" t="s">
        <v>10</v>
      </c>
      <c r="G70" s="216" t="s">
        <v>197</v>
      </c>
      <c r="H70" s="215" t="s">
        <v>198</v>
      </c>
      <c r="I70" s="141" t="s">
        <v>443</v>
      </c>
      <c r="J70">
        <v>1</v>
      </c>
    </row>
    <row r="71" spans="1:10" ht="73.5" customHeight="1" x14ac:dyDescent="0.25">
      <c r="A71" s="386" t="s">
        <v>197</v>
      </c>
      <c r="B71" s="387" t="s">
        <v>215</v>
      </c>
      <c r="C71" s="161" t="s">
        <v>617</v>
      </c>
      <c r="D71" s="181">
        <v>1</v>
      </c>
      <c r="G71" s="388" t="s">
        <v>197</v>
      </c>
      <c r="H71" s="227" t="s">
        <v>198</v>
      </c>
      <c r="I71" s="225" t="s">
        <v>616</v>
      </c>
      <c r="J71">
        <v>3</v>
      </c>
    </row>
    <row r="72" spans="1:10" ht="110.1" customHeight="1" x14ac:dyDescent="0.25">
      <c r="A72" s="31" t="s">
        <v>216</v>
      </c>
      <c r="B72" s="155" t="s">
        <v>217</v>
      </c>
      <c r="C72" s="141" t="s">
        <v>593</v>
      </c>
      <c r="D72" s="181">
        <v>1</v>
      </c>
      <c r="E72" t="s">
        <v>10</v>
      </c>
      <c r="G72" s="31" t="s">
        <v>216</v>
      </c>
      <c r="H72" s="104" t="s">
        <v>516</v>
      </c>
      <c r="I72" s="141" t="s">
        <v>593</v>
      </c>
      <c r="J72">
        <v>2</v>
      </c>
    </row>
    <row r="73" spans="1:10" ht="110.1" customHeight="1" x14ac:dyDescent="0.25">
      <c r="A73" s="31" t="s">
        <v>216</v>
      </c>
      <c r="B73" s="155" t="s">
        <v>217</v>
      </c>
      <c r="C73" s="236" t="s">
        <v>594</v>
      </c>
      <c r="D73" s="181">
        <v>1</v>
      </c>
      <c r="G73" s="31" t="s">
        <v>216</v>
      </c>
      <c r="H73" s="104" t="s">
        <v>516</v>
      </c>
      <c r="I73" s="384" t="s">
        <v>594</v>
      </c>
    </row>
    <row r="74" spans="1:10" ht="64.5" customHeight="1" x14ac:dyDescent="0.25">
      <c r="A74" s="162" t="s">
        <v>495</v>
      </c>
      <c r="B74" s="242" t="s">
        <v>218</v>
      </c>
      <c r="C74" s="163" t="s">
        <v>595</v>
      </c>
      <c r="D74" s="181">
        <v>1</v>
      </c>
      <c r="G74" s="226" t="s">
        <v>495</v>
      </c>
      <c r="H74" s="215" t="s">
        <v>201</v>
      </c>
      <c r="I74" s="229" t="s">
        <v>615</v>
      </c>
      <c r="J74">
        <v>1</v>
      </c>
    </row>
    <row r="75" spans="1:10" ht="75" x14ac:dyDescent="0.25">
      <c r="A75" s="162" t="s">
        <v>495</v>
      </c>
      <c r="B75" s="242" t="s">
        <v>218</v>
      </c>
      <c r="C75" s="238" t="s">
        <v>596</v>
      </c>
      <c r="D75" s="181">
        <v>1</v>
      </c>
      <c r="G75" s="226" t="s">
        <v>495</v>
      </c>
      <c r="H75" s="215" t="s">
        <v>201</v>
      </c>
      <c r="I75" s="385" t="s">
        <v>596</v>
      </c>
      <c r="J75">
        <v>2</v>
      </c>
    </row>
    <row r="76" spans="1:10" ht="60" x14ac:dyDescent="0.25">
      <c r="A76" s="45" t="s">
        <v>495</v>
      </c>
      <c r="B76" s="202" t="s">
        <v>218</v>
      </c>
      <c r="C76" s="143" t="s">
        <v>597</v>
      </c>
      <c r="D76" s="181">
        <v>2</v>
      </c>
      <c r="E76" t="s">
        <v>10</v>
      </c>
      <c r="G76" s="226" t="s">
        <v>495</v>
      </c>
      <c r="H76" s="227" t="s">
        <v>201</v>
      </c>
      <c r="I76" s="228" t="s">
        <v>597</v>
      </c>
      <c r="J76">
        <v>0</v>
      </c>
    </row>
    <row r="77" spans="1:10" ht="15.75" x14ac:dyDescent="0.25">
      <c r="A77" s="31" t="s">
        <v>206</v>
      </c>
      <c r="B77" s="499" t="s">
        <v>219</v>
      </c>
      <c r="C77" s="212" t="s">
        <v>445</v>
      </c>
      <c r="D77" s="181">
        <v>3</v>
      </c>
      <c r="E77" t="s">
        <v>220</v>
      </c>
      <c r="F77" t="s">
        <v>221</v>
      </c>
      <c r="G77" s="216" t="s">
        <v>206</v>
      </c>
      <c r="H77" s="215" t="s">
        <v>207</v>
      </c>
      <c r="I77" s="141" t="s">
        <v>445</v>
      </c>
    </row>
    <row r="78" spans="1:10" ht="75" customHeight="1" x14ac:dyDescent="0.25">
      <c r="A78" s="31" t="s">
        <v>206</v>
      </c>
      <c r="B78" s="499"/>
      <c r="C78" s="141" t="s">
        <v>222</v>
      </c>
      <c r="D78" s="181">
        <v>2</v>
      </c>
      <c r="E78" t="s">
        <v>9</v>
      </c>
      <c r="G78" s="216" t="s">
        <v>206</v>
      </c>
      <c r="H78" s="215" t="s">
        <v>207</v>
      </c>
      <c r="I78" s="141" t="s">
        <v>222</v>
      </c>
    </row>
    <row r="79" spans="1:10" ht="45" x14ac:dyDescent="0.25">
      <c r="A79" s="31" t="s">
        <v>479</v>
      </c>
      <c r="B79" s="496" t="s">
        <v>223</v>
      </c>
      <c r="C79" s="141" t="s">
        <v>618</v>
      </c>
      <c r="D79" s="181">
        <v>1</v>
      </c>
      <c r="E79" t="s">
        <v>10</v>
      </c>
      <c r="G79" s="216" t="s">
        <v>209</v>
      </c>
      <c r="H79" s="215" t="s">
        <v>210</v>
      </c>
      <c r="I79" s="141" t="s">
        <v>618</v>
      </c>
    </row>
    <row r="80" spans="1:10" ht="45" x14ac:dyDescent="0.25">
      <c r="A80" s="31" t="s">
        <v>479</v>
      </c>
      <c r="B80" s="497"/>
      <c r="C80" s="141" t="s">
        <v>444</v>
      </c>
      <c r="D80" s="181">
        <v>2</v>
      </c>
      <c r="E80" t="s">
        <v>9</v>
      </c>
      <c r="G80" s="216" t="s">
        <v>209</v>
      </c>
      <c r="H80" s="230" t="s">
        <v>210</v>
      </c>
      <c r="I80" s="141" t="s">
        <v>448</v>
      </c>
    </row>
    <row r="81" spans="1:9" ht="60" x14ac:dyDescent="0.25">
      <c r="A81" s="31" t="s">
        <v>479</v>
      </c>
      <c r="B81" s="202" t="s">
        <v>223</v>
      </c>
      <c r="C81" s="212" t="s">
        <v>619</v>
      </c>
      <c r="D81" s="181">
        <v>2</v>
      </c>
      <c r="E81" t="s">
        <v>9</v>
      </c>
      <c r="G81" s="32" t="s">
        <v>479</v>
      </c>
      <c r="H81" s="31" t="s">
        <v>534</v>
      </c>
      <c r="I81" s="141" t="s">
        <v>619</v>
      </c>
    </row>
    <row r="82" spans="1:9" x14ac:dyDescent="0.25">
      <c r="C82">
        <v>0</v>
      </c>
      <c r="D82" s="181">
        <v>0</v>
      </c>
    </row>
  </sheetData>
  <mergeCells count="7">
    <mergeCell ref="B79:B80"/>
    <mergeCell ref="B43:B45"/>
    <mergeCell ref="B53:B54"/>
    <mergeCell ref="B55:B56"/>
    <mergeCell ref="B57:B58"/>
    <mergeCell ref="B67:B68"/>
    <mergeCell ref="B77:B78"/>
  </mergeCells>
  <pageMargins left="0.7" right="0.7" top="0.75" bottom="0.75" header="0.3" footer="0.3"/>
  <pageSetup orientation="portrait"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33B58-62AC-4D64-A067-954DC71DA6FF}">
  <sheetPr codeName="Sheet4"/>
  <dimension ref="B2:M44"/>
  <sheetViews>
    <sheetView topLeftCell="B11" zoomScale="55" zoomScaleNormal="55" workbookViewId="0">
      <selection activeCell="C4" sqref="C4:C20"/>
    </sheetView>
  </sheetViews>
  <sheetFormatPr defaultRowHeight="15" x14ac:dyDescent="0.25"/>
  <cols>
    <col min="2" max="2" width="45.7109375" customWidth="1"/>
    <col min="3" max="3" width="48.7109375" customWidth="1"/>
    <col min="4" max="4" width="45" bestFit="1" customWidth="1"/>
    <col min="5" max="5" width="28.42578125" customWidth="1"/>
    <col min="6" max="6" width="35" customWidth="1"/>
    <col min="7" max="7" width="36.5703125" customWidth="1"/>
    <col min="8" max="8" width="23.85546875" customWidth="1"/>
    <col min="9" max="10" width="26.42578125" customWidth="1"/>
    <col min="11" max="11" width="25.85546875" customWidth="1"/>
    <col min="12" max="12" width="15.140625" customWidth="1"/>
    <col min="13" max="13" width="13.5703125" customWidth="1"/>
  </cols>
  <sheetData>
    <row r="2" spans="2:13" ht="18" x14ac:dyDescent="0.25">
      <c r="B2" s="534" t="s">
        <v>246</v>
      </c>
      <c r="C2" s="534" t="s">
        <v>247</v>
      </c>
      <c r="D2" s="536" t="s">
        <v>248</v>
      </c>
      <c r="E2" s="537"/>
      <c r="F2" s="536" t="s">
        <v>249</v>
      </c>
      <c r="G2" s="537"/>
      <c r="H2" s="534" t="s">
        <v>250</v>
      </c>
      <c r="I2" s="531" t="s">
        <v>264</v>
      </c>
      <c r="J2" s="532"/>
      <c r="K2" s="532"/>
      <c r="L2" s="532"/>
      <c r="M2" s="533"/>
    </row>
    <row r="3" spans="2:13" ht="144" x14ac:dyDescent="0.25">
      <c r="B3" s="535"/>
      <c r="C3" s="535"/>
      <c r="D3" s="538"/>
      <c r="E3" s="539"/>
      <c r="F3" s="538"/>
      <c r="G3" s="539"/>
      <c r="H3" s="535"/>
      <c r="I3" s="86" t="s">
        <v>450</v>
      </c>
      <c r="J3" s="86" t="s">
        <v>497</v>
      </c>
      <c r="K3" s="87" t="s">
        <v>449</v>
      </c>
      <c r="L3" s="87" t="s">
        <v>452</v>
      </c>
      <c r="M3" s="87" t="s">
        <v>451</v>
      </c>
    </row>
    <row r="4" spans="2:13" ht="49.5" customHeight="1" x14ac:dyDescent="0.25">
      <c r="B4" s="496" t="s">
        <v>56</v>
      </c>
      <c r="C4" s="33" t="s">
        <v>533</v>
      </c>
      <c r="D4" s="511" t="s">
        <v>265</v>
      </c>
      <c r="E4" s="512"/>
      <c r="F4" s="516" t="s">
        <v>266</v>
      </c>
      <c r="G4" s="517"/>
      <c r="H4" s="522" t="s">
        <v>251</v>
      </c>
      <c r="I4" s="64" t="s">
        <v>267</v>
      </c>
      <c r="J4" s="65" t="s">
        <v>267</v>
      </c>
      <c r="K4" s="4" t="s">
        <v>267</v>
      </c>
      <c r="L4" s="4" t="s">
        <v>267</v>
      </c>
      <c r="M4" s="4" t="s">
        <v>267</v>
      </c>
    </row>
    <row r="5" spans="2:13" ht="68.099999999999994" customHeight="1" x14ac:dyDescent="0.25">
      <c r="B5" s="500"/>
      <c r="C5" s="31" t="s">
        <v>439</v>
      </c>
      <c r="D5" s="515"/>
      <c r="E5" s="452"/>
      <c r="F5" s="518"/>
      <c r="G5" s="519"/>
      <c r="H5" s="522"/>
      <c r="I5" s="64" t="s">
        <v>267</v>
      </c>
      <c r="J5" s="64" t="s">
        <v>267</v>
      </c>
      <c r="K5" s="4" t="s">
        <v>267</v>
      </c>
      <c r="L5" s="4" t="s">
        <v>267</v>
      </c>
      <c r="M5" s="4" t="s">
        <v>267</v>
      </c>
    </row>
    <row r="6" spans="2:13" ht="48.95" customHeight="1" x14ac:dyDescent="0.25">
      <c r="B6" s="497"/>
      <c r="C6" s="31" t="s">
        <v>252</v>
      </c>
      <c r="D6" s="513"/>
      <c r="E6" s="514"/>
      <c r="F6" s="520"/>
      <c r="G6" s="521"/>
      <c r="H6" s="32" t="s">
        <v>253</v>
      </c>
      <c r="I6" s="64" t="s">
        <v>267</v>
      </c>
      <c r="J6" s="64" t="s">
        <v>267</v>
      </c>
      <c r="K6" s="4" t="s">
        <v>267</v>
      </c>
      <c r="L6" s="4" t="s">
        <v>267</v>
      </c>
      <c r="M6" s="4"/>
    </row>
    <row r="7" spans="2:13" ht="87.6" customHeight="1" x14ac:dyDescent="0.25">
      <c r="B7" s="496" t="s">
        <v>268</v>
      </c>
      <c r="C7" s="33" t="s">
        <v>255</v>
      </c>
      <c r="D7" s="511" t="s">
        <v>651</v>
      </c>
      <c r="E7" s="512"/>
      <c r="F7" s="516" t="s">
        <v>269</v>
      </c>
      <c r="G7" s="517"/>
      <c r="H7" s="508" t="s">
        <v>251</v>
      </c>
      <c r="I7" s="64" t="s">
        <v>267</v>
      </c>
      <c r="J7" s="65" t="s">
        <v>267</v>
      </c>
      <c r="K7" s="4" t="s">
        <v>267</v>
      </c>
      <c r="L7" s="4" t="s">
        <v>267</v>
      </c>
      <c r="M7" s="4"/>
    </row>
    <row r="8" spans="2:13" ht="114.95" customHeight="1" x14ac:dyDescent="0.25">
      <c r="B8" s="500"/>
      <c r="C8" s="45" t="s">
        <v>577</v>
      </c>
      <c r="D8" s="513"/>
      <c r="E8" s="514"/>
      <c r="F8" s="520"/>
      <c r="G8" s="521"/>
      <c r="H8" s="509"/>
      <c r="I8" s="64" t="s">
        <v>267</v>
      </c>
      <c r="J8" s="65" t="s">
        <v>267</v>
      </c>
      <c r="K8" s="4" t="s">
        <v>267</v>
      </c>
      <c r="L8" s="4"/>
      <c r="M8" s="4"/>
    </row>
    <row r="9" spans="2:13" ht="96.6" customHeight="1" x14ac:dyDescent="0.25">
      <c r="B9" s="500"/>
      <c r="C9" s="45" t="s">
        <v>181</v>
      </c>
      <c r="D9" s="511" t="s">
        <v>652</v>
      </c>
      <c r="E9" s="512"/>
      <c r="F9" s="516" t="s">
        <v>270</v>
      </c>
      <c r="G9" s="523"/>
      <c r="H9" s="509"/>
      <c r="I9" s="64" t="s">
        <v>267</v>
      </c>
      <c r="J9" s="65" t="s">
        <v>267</v>
      </c>
      <c r="K9" s="4" t="s">
        <v>267</v>
      </c>
      <c r="L9" s="4" t="s">
        <v>267</v>
      </c>
      <c r="M9" s="4" t="s">
        <v>267</v>
      </c>
    </row>
    <row r="10" spans="2:13" ht="87.95" customHeight="1" x14ac:dyDescent="0.25">
      <c r="B10" s="500"/>
      <c r="C10" s="45" t="s">
        <v>494</v>
      </c>
      <c r="D10" s="513"/>
      <c r="E10" s="514"/>
      <c r="F10" s="520"/>
      <c r="G10" s="524"/>
      <c r="H10" s="510"/>
      <c r="I10" s="64" t="s">
        <v>267</v>
      </c>
      <c r="J10" s="65" t="s">
        <v>267</v>
      </c>
      <c r="K10" s="4" t="s">
        <v>267</v>
      </c>
      <c r="L10" s="4" t="s">
        <v>267</v>
      </c>
      <c r="M10" s="3"/>
    </row>
    <row r="11" spans="2:13" ht="44.1" customHeight="1" x14ac:dyDescent="0.25">
      <c r="B11" s="496" t="s">
        <v>271</v>
      </c>
      <c r="C11" s="33" t="s">
        <v>579</v>
      </c>
      <c r="D11" s="511" t="s">
        <v>272</v>
      </c>
      <c r="E11" s="525"/>
      <c r="F11" s="528" t="s">
        <v>258</v>
      </c>
      <c r="G11" s="517"/>
      <c r="H11" s="508" t="s">
        <v>251</v>
      </c>
      <c r="I11" s="64" t="s">
        <v>267</v>
      </c>
      <c r="J11" s="65" t="s">
        <v>267</v>
      </c>
      <c r="K11" s="4" t="s">
        <v>267</v>
      </c>
      <c r="L11" s="4"/>
      <c r="M11" s="4"/>
    </row>
    <row r="12" spans="2:13" ht="42.6" customHeight="1" x14ac:dyDescent="0.25">
      <c r="B12" s="500"/>
      <c r="C12" s="33" t="s">
        <v>580</v>
      </c>
      <c r="D12" s="515"/>
      <c r="E12" s="526"/>
      <c r="F12" s="519" t="s">
        <v>653</v>
      </c>
      <c r="G12" s="529"/>
      <c r="H12" s="510"/>
      <c r="I12" s="64" t="s">
        <v>267</v>
      </c>
      <c r="J12" s="65" t="s">
        <v>267</v>
      </c>
      <c r="K12" s="4" t="s">
        <v>267</v>
      </c>
      <c r="L12" s="4" t="s">
        <v>267</v>
      </c>
      <c r="M12" s="4" t="s">
        <v>267</v>
      </c>
    </row>
    <row r="13" spans="2:13" ht="54.6" customHeight="1" x14ac:dyDescent="0.25">
      <c r="B13" s="497"/>
      <c r="C13" s="33" t="s">
        <v>581</v>
      </c>
      <c r="D13" s="513"/>
      <c r="E13" s="527"/>
      <c r="F13" s="521"/>
      <c r="G13" s="524"/>
      <c r="H13" s="32" t="s">
        <v>253</v>
      </c>
      <c r="I13" s="4" t="s">
        <v>267</v>
      </c>
      <c r="J13" s="4" t="s">
        <v>267</v>
      </c>
      <c r="K13" s="4" t="s">
        <v>267</v>
      </c>
      <c r="L13" s="4" t="s">
        <v>267</v>
      </c>
      <c r="M13" s="4" t="s">
        <v>267</v>
      </c>
    </row>
    <row r="14" spans="2:13" ht="123.95" customHeight="1" x14ac:dyDescent="0.25">
      <c r="B14" s="496" t="s">
        <v>60</v>
      </c>
      <c r="C14" s="33" t="s">
        <v>188</v>
      </c>
      <c r="D14" s="511" t="s">
        <v>273</v>
      </c>
      <c r="E14" s="512"/>
      <c r="F14" s="516" t="s">
        <v>274</v>
      </c>
      <c r="G14" s="523"/>
      <c r="H14" s="508" t="s">
        <v>260</v>
      </c>
      <c r="I14" s="4" t="s">
        <v>267</v>
      </c>
      <c r="J14" s="4" t="s">
        <v>267</v>
      </c>
      <c r="K14" s="4" t="s">
        <v>267</v>
      </c>
      <c r="L14" s="4" t="s">
        <v>267</v>
      </c>
      <c r="M14" s="4" t="s">
        <v>267</v>
      </c>
    </row>
    <row r="15" spans="2:13" ht="15.6" customHeight="1" x14ac:dyDescent="0.25">
      <c r="B15" s="500"/>
      <c r="C15" s="33" t="s">
        <v>192</v>
      </c>
      <c r="D15" s="515"/>
      <c r="E15" s="452"/>
      <c r="F15" s="518"/>
      <c r="G15" s="529"/>
      <c r="H15" s="509"/>
      <c r="I15" s="427" t="s">
        <v>267</v>
      </c>
      <c r="J15" s="65" t="s">
        <v>267</v>
      </c>
      <c r="K15" s="4" t="s">
        <v>267</v>
      </c>
      <c r="L15" s="4" t="s">
        <v>267</v>
      </c>
      <c r="M15" s="4" t="s">
        <v>267</v>
      </c>
    </row>
    <row r="16" spans="2:13" ht="30" x14ac:dyDescent="0.25">
      <c r="B16" s="500"/>
      <c r="C16" s="33" t="s">
        <v>197</v>
      </c>
      <c r="D16" s="515"/>
      <c r="E16" s="452"/>
      <c r="F16" s="518"/>
      <c r="G16" s="529"/>
      <c r="H16" s="509"/>
      <c r="I16" s="4" t="s">
        <v>267</v>
      </c>
      <c r="J16" s="4" t="s">
        <v>267</v>
      </c>
      <c r="K16" s="4" t="s">
        <v>267</v>
      </c>
      <c r="L16" s="4" t="s">
        <v>267</v>
      </c>
      <c r="M16" s="4" t="s">
        <v>267</v>
      </c>
    </row>
    <row r="17" spans="2:13" x14ac:dyDescent="0.25">
      <c r="B17" s="500"/>
      <c r="C17" s="33" t="s">
        <v>261</v>
      </c>
      <c r="D17" s="515"/>
      <c r="E17" s="452"/>
      <c r="F17" s="518"/>
      <c r="G17" s="529"/>
      <c r="H17" s="509"/>
      <c r="I17" s="4" t="s">
        <v>267</v>
      </c>
      <c r="J17" s="4" t="s">
        <v>267</v>
      </c>
      <c r="K17" s="4" t="s">
        <v>267</v>
      </c>
      <c r="L17" s="4" t="s">
        <v>267</v>
      </c>
      <c r="M17" s="4" t="s">
        <v>267</v>
      </c>
    </row>
    <row r="18" spans="2:13" ht="29.1" customHeight="1" x14ac:dyDescent="0.25">
      <c r="B18" s="497"/>
      <c r="C18" s="33" t="s">
        <v>643</v>
      </c>
      <c r="D18" s="513"/>
      <c r="E18" s="514"/>
      <c r="F18" s="520"/>
      <c r="G18" s="524"/>
      <c r="H18" s="510"/>
      <c r="I18" s="4" t="s">
        <v>267</v>
      </c>
      <c r="J18" s="4" t="s">
        <v>267</v>
      </c>
      <c r="K18" s="4" t="s">
        <v>267</v>
      </c>
      <c r="L18" s="4" t="s">
        <v>267</v>
      </c>
      <c r="M18" s="4" t="s">
        <v>267</v>
      </c>
    </row>
    <row r="19" spans="2:13" ht="36" customHeight="1" x14ac:dyDescent="0.25">
      <c r="B19" s="499" t="s">
        <v>275</v>
      </c>
      <c r="C19" s="33" t="s">
        <v>206</v>
      </c>
      <c r="D19" s="522" t="s">
        <v>649</v>
      </c>
      <c r="E19" s="522"/>
      <c r="F19" s="530" t="s">
        <v>650</v>
      </c>
      <c r="G19" s="530"/>
      <c r="H19" s="499" t="s">
        <v>251</v>
      </c>
      <c r="I19" s="64"/>
      <c r="J19" s="65" t="s">
        <v>267</v>
      </c>
      <c r="K19" s="4" t="s">
        <v>267</v>
      </c>
      <c r="L19" s="4" t="s">
        <v>267</v>
      </c>
      <c r="M19" s="4"/>
    </row>
    <row r="20" spans="2:13" ht="97.5" customHeight="1" x14ac:dyDescent="0.25">
      <c r="B20" s="499"/>
      <c r="C20" s="33" t="s">
        <v>479</v>
      </c>
      <c r="D20" s="522"/>
      <c r="E20" s="522"/>
      <c r="F20" s="530"/>
      <c r="G20" s="530"/>
      <c r="H20" s="499"/>
      <c r="I20" s="64" t="s">
        <v>267</v>
      </c>
      <c r="J20" s="65" t="s">
        <v>267</v>
      </c>
      <c r="K20" s="4" t="s">
        <v>267</v>
      </c>
      <c r="L20" s="4" t="s">
        <v>267</v>
      </c>
      <c r="M20" s="4" t="s">
        <v>267</v>
      </c>
    </row>
    <row r="26" spans="2:13" x14ac:dyDescent="0.25">
      <c r="B26" s="505" t="s">
        <v>460</v>
      </c>
      <c r="C26" s="505"/>
      <c r="D26" s="505"/>
      <c r="E26" s="505" t="s">
        <v>461</v>
      </c>
      <c r="F26" s="505"/>
      <c r="G26" s="505"/>
      <c r="H26" s="505"/>
      <c r="I26" s="505"/>
      <c r="J26" s="505"/>
      <c r="K26" s="505"/>
    </row>
    <row r="27" spans="2:13" ht="75" x14ac:dyDescent="0.25">
      <c r="B27" s="505"/>
      <c r="C27" s="505"/>
      <c r="D27" s="505"/>
      <c r="E27" s="199" t="s">
        <v>449</v>
      </c>
      <c r="F27" s="199" t="s">
        <v>526</v>
      </c>
      <c r="G27" s="199" t="s">
        <v>527</v>
      </c>
      <c r="H27" s="199" t="s">
        <v>452</v>
      </c>
      <c r="I27" s="199" t="s">
        <v>451</v>
      </c>
      <c r="J27" s="199" t="s">
        <v>524</v>
      </c>
      <c r="K27" s="199" t="s">
        <v>525</v>
      </c>
      <c r="L27" s="199" t="s">
        <v>450</v>
      </c>
      <c r="M27" s="199" t="s">
        <v>497</v>
      </c>
    </row>
    <row r="28" spans="2:13" ht="65.45" customHeight="1" x14ac:dyDescent="0.25">
      <c r="B28" s="506" t="s">
        <v>462</v>
      </c>
      <c r="C28" s="507" t="s">
        <v>56</v>
      </c>
      <c r="D28" s="33" t="str">
        <f>C4</f>
        <v>Greenhouse gas (GHG) emissions from biomass production, transportation and storage (upstream)</v>
      </c>
      <c r="E28" s="200" t="s">
        <v>10</v>
      </c>
      <c r="F28" s="200" t="s">
        <v>10</v>
      </c>
      <c r="G28" s="200" t="s">
        <v>9</v>
      </c>
      <c r="H28" s="200" t="s">
        <v>10</v>
      </c>
      <c r="I28" s="200" t="s">
        <v>10</v>
      </c>
      <c r="J28" s="200" t="s">
        <v>10</v>
      </c>
      <c r="K28" s="200" t="s">
        <v>10</v>
      </c>
      <c r="L28" s="200" t="s">
        <v>9</v>
      </c>
      <c r="M28" s="200" t="s">
        <v>10</v>
      </c>
    </row>
    <row r="29" spans="2:13" ht="30" x14ac:dyDescent="0.25">
      <c r="B29" s="506"/>
      <c r="C29" s="507"/>
      <c r="D29" s="33" t="str">
        <f t="shared" ref="D29:D44" si="0">C5</f>
        <v>GHG emissions from biomass utilization (combustion)</v>
      </c>
      <c r="E29" s="200" t="s">
        <v>9</v>
      </c>
      <c r="F29" s="200" t="s">
        <v>9</v>
      </c>
      <c r="G29" s="200" t="s">
        <v>9</v>
      </c>
      <c r="H29" s="200" t="s">
        <v>9</v>
      </c>
      <c r="I29" s="200" t="s">
        <v>9</v>
      </c>
      <c r="J29" s="200" t="s">
        <v>9</v>
      </c>
      <c r="K29" s="200" t="s">
        <v>9</v>
      </c>
      <c r="L29" s="200" t="s">
        <v>9</v>
      </c>
      <c r="M29" s="200" t="s">
        <v>9</v>
      </c>
    </row>
    <row r="30" spans="2:13" ht="30" x14ac:dyDescent="0.25">
      <c r="B30" s="506"/>
      <c r="C30" s="507"/>
      <c r="D30" s="33" t="str">
        <f t="shared" si="0"/>
        <v>Impact on carbon sinks (such as deforestation)</v>
      </c>
      <c r="E30" s="200" t="s">
        <v>10</v>
      </c>
      <c r="F30" s="200" t="s">
        <v>10</v>
      </c>
      <c r="G30" s="200" t="s">
        <v>10</v>
      </c>
      <c r="H30" s="200" t="s">
        <v>10</v>
      </c>
      <c r="I30" s="200" t="s">
        <v>9</v>
      </c>
      <c r="J30" s="200" t="s">
        <v>9</v>
      </c>
      <c r="K30" s="200" t="s">
        <v>9</v>
      </c>
      <c r="L30" s="200" t="s">
        <v>11</v>
      </c>
      <c r="M30" s="200" t="s">
        <v>11</v>
      </c>
    </row>
    <row r="31" spans="2:13" ht="60" x14ac:dyDescent="0.25">
      <c r="B31" s="506"/>
      <c r="C31" s="507" t="s">
        <v>254</v>
      </c>
      <c r="D31" s="33" t="str">
        <f t="shared" si="0"/>
        <v>Loss of natural habitats causing loss of biodiversity (such as deforestation) from land-use change (LUC) and indirect land-use change (ILUC)</v>
      </c>
      <c r="E31" s="200" t="s">
        <v>10</v>
      </c>
      <c r="F31" s="200" t="s">
        <v>10</v>
      </c>
      <c r="G31" s="200" t="s">
        <v>10</v>
      </c>
      <c r="H31" s="200" t="s">
        <v>10</v>
      </c>
      <c r="I31" s="200" t="s">
        <v>9</v>
      </c>
      <c r="J31" s="200" t="s">
        <v>9</v>
      </c>
      <c r="K31" s="200" t="s">
        <v>9</v>
      </c>
      <c r="L31" s="200" t="s">
        <v>11</v>
      </c>
      <c r="M31" s="200" t="s">
        <v>11</v>
      </c>
    </row>
    <row r="32" spans="2:13" ht="30" x14ac:dyDescent="0.25">
      <c r="B32" s="506"/>
      <c r="C32" s="507"/>
      <c r="D32" s="33" t="str">
        <f t="shared" si="0"/>
        <v>Loss of biodiversity due to increased use of chemicals (pesticides, herbicides, etc.)</v>
      </c>
      <c r="E32" s="200" t="s">
        <v>10</v>
      </c>
      <c r="F32" s="200" t="s">
        <v>10</v>
      </c>
      <c r="G32" s="200" t="s">
        <v>10</v>
      </c>
      <c r="H32" s="200" t="s">
        <v>9</v>
      </c>
      <c r="I32" s="200" t="s">
        <v>9</v>
      </c>
      <c r="J32" s="200" t="s">
        <v>9</v>
      </c>
      <c r="K32" s="200" t="s">
        <v>9</v>
      </c>
      <c r="L32" s="200" t="s">
        <v>9</v>
      </c>
      <c r="M32" s="200" t="s">
        <v>11</v>
      </c>
    </row>
    <row r="33" spans="2:13" x14ac:dyDescent="0.25">
      <c r="B33" s="506"/>
      <c r="C33" s="507"/>
      <c r="D33" s="33" t="str">
        <f t="shared" si="0"/>
        <v>Water consumption for biomass production</v>
      </c>
      <c r="E33" s="200" t="s">
        <v>10</v>
      </c>
      <c r="F33" s="200" t="s">
        <v>10</v>
      </c>
      <c r="G33" s="200" t="s">
        <v>10</v>
      </c>
      <c r="H33" s="200" t="s">
        <v>9</v>
      </c>
      <c r="I33" s="200" t="s">
        <v>9</v>
      </c>
      <c r="J33" s="200" t="s">
        <v>9</v>
      </c>
      <c r="K33" s="200" t="s">
        <v>9</v>
      </c>
      <c r="L33" s="200" t="s">
        <v>9</v>
      </c>
      <c r="M33" s="200" t="s">
        <v>11</v>
      </c>
    </row>
    <row r="34" spans="2:13" x14ac:dyDescent="0.25">
      <c r="B34" s="506"/>
      <c r="C34" s="507"/>
      <c r="D34" s="33" t="str">
        <f t="shared" si="0"/>
        <v>Water &amp; soil contamination</v>
      </c>
      <c r="E34" s="200" t="s">
        <v>10</v>
      </c>
      <c r="F34" s="200" t="s">
        <v>10</v>
      </c>
      <c r="G34" s="200" t="s">
        <v>10</v>
      </c>
      <c r="H34" s="200" t="s">
        <v>10</v>
      </c>
      <c r="I34" s="200" t="s">
        <v>10</v>
      </c>
      <c r="J34" s="200" t="s">
        <v>9</v>
      </c>
      <c r="K34" s="200" t="s">
        <v>10</v>
      </c>
      <c r="L34" s="200" t="s">
        <v>9</v>
      </c>
      <c r="M34" s="200" t="s">
        <v>11</v>
      </c>
    </row>
    <row r="35" spans="2:13" ht="30" x14ac:dyDescent="0.25">
      <c r="B35" s="506"/>
      <c r="C35" s="507" t="s">
        <v>271</v>
      </c>
      <c r="D35" s="33" t="str">
        <f t="shared" si="0"/>
        <v>Open field burning of agricultural waste and wildfires</v>
      </c>
      <c r="E35" s="200" t="s">
        <v>9</v>
      </c>
      <c r="F35" s="200" t="s">
        <v>9</v>
      </c>
      <c r="G35" s="200" t="s">
        <v>9</v>
      </c>
      <c r="H35" s="200" t="s">
        <v>9</v>
      </c>
      <c r="I35" s="200" t="s">
        <v>9</v>
      </c>
      <c r="J35" s="200" t="s">
        <v>9</v>
      </c>
      <c r="K35" s="200" t="s">
        <v>9</v>
      </c>
      <c r="L35" s="200" t="s">
        <v>11</v>
      </c>
      <c r="M35" s="200" t="s">
        <v>11</v>
      </c>
    </row>
    <row r="36" spans="2:13" ht="30" x14ac:dyDescent="0.25">
      <c r="B36" s="506"/>
      <c r="C36" s="507"/>
      <c r="D36" s="33" t="str">
        <f t="shared" si="0"/>
        <v>Air contaminants emissions during production processes</v>
      </c>
      <c r="E36" s="200" t="s">
        <v>10</v>
      </c>
      <c r="F36" s="200" t="s">
        <v>9</v>
      </c>
      <c r="G36" s="200" t="s">
        <v>10</v>
      </c>
      <c r="H36" s="200" t="s">
        <v>10</v>
      </c>
      <c r="I36" s="200" t="s">
        <v>9</v>
      </c>
      <c r="J36" s="200" t="s">
        <v>9</v>
      </c>
      <c r="K36" s="200" t="s">
        <v>9</v>
      </c>
      <c r="L36" s="200" t="s">
        <v>10</v>
      </c>
      <c r="M36" s="200" t="s">
        <v>10</v>
      </c>
    </row>
    <row r="37" spans="2:13" ht="30" x14ac:dyDescent="0.25">
      <c r="B37" s="506"/>
      <c r="C37" s="507"/>
      <c r="D37" s="33" t="str">
        <f t="shared" si="0"/>
        <v>Air contaminants emissions from biomass combustion</v>
      </c>
      <c r="E37" s="200" t="s">
        <v>11</v>
      </c>
      <c r="F37" s="200" t="s">
        <v>11</v>
      </c>
      <c r="G37" s="200" t="s">
        <v>11</v>
      </c>
      <c r="H37" s="200" t="s">
        <v>9</v>
      </c>
      <c r="I37" s="200" t="s">
        <v>11</v>
      </c>
      <c r="J37" s="200" t="s">
        <v>11</v>
      </c>
      <c r="K37" s="200" t="s">
        <v>11</v>
      </c>
      <c r="L37" s="200" t="s">
        <v>11</v>
      </c>
      <c r="M37" s="200" t="s">
        <v>10</v>
      </c>
    </row>
    <row r="38" spans="2:13" x14ac:dyDescent="0.25">
      <c r="B38" s="503" t="s">
        <v>463</v>
      </c>
      <c r="C38" s="504" t="s">
        <v>259</v>
      </c>
      <c r="D38" s="33" t="str">
        <f t="shared" si="0"/>
        <v>Land rights</v>
      </c>
      <c r="E38" s="200" t="s">
        <v>9</v>
      </c>
      <c r="F38" s="200" t="s">
        <v>9</v>
      </c>
      <c r="G38" s="200" t="s">
        <v>9</v>
      </c>
      <c r="H38" s="200" t="s">
        <v>9</v>
      </c>
      <c r="I38" s="200" t="s">
        <v>9</v>
      </c>
      <c r="J38" s="200" t="s">
        <v>9</v>
      </c>
      <c r="K38" s="200" t="s">
        <v>9</v>
      </c>
      <c r="L38" s="200" t="s">
        <v>11</v>
      </c>
      <c r="M38" s="200" t="s">
        <v>10</v>
      </c>
    </row>
    <row r="39" spans="2:13" x14ac:dyDescent="0.25">
      <c r="B39" s="503"/>
      <c r="C39" s="504"/>
      <c r="D39" s="33" t="str">
        <f t="shared" si="0"/>
        <v>Community health and safety</v>
      </c>
      <c r="E39" s="200" t="s">
        <v>11</v>
      </c>
      <c r="F39" s="200" t="s">
        <v>11</v>
      </c>
      <c r="G39" s="200" t="s">
        <v>11</v>
      </c>
      <c r="H39" s="200" t="s">
        <v>11</v>
      </c>
      <c r="I39" s="200" t="s">
        <v>11</v>
      </c>
      <c r="J39" s="200" t="s">
        <v>11</v>
      </c>
      <c r="K39" s="200" t="s">
        <v>11</v>
      </c>
      <c r="L39" s="200" t="s">
        <v>11</v>
      </c>
      <c r="M39" s="200" t="s">
        <v>11</v>
      </c>
    </row>
    <row r="40" spans="2:13" ht="30" x14ac:dyDescent="0.25">
      <c r="B40" s="503"/>
      <c r="C40" s="504"/>
      <c r="D40" s="33" t="str">
        <f t="shared" si="0"/>
        <v>Decent remuneration and compensation for workers</v>
      </c>
      <c r="E40" s="200" t="s">
        <v>11</v>
      </c>
      <c r="F40" s="200" t="s">
        <v>11</v>
      </c>
      <c r="G40" s="200" t="s">
        <v>11</v>
      </c>
      <c r="H40" s="200" t="s">
        <v>11</v>
      </c>
      <c r="I40" s="200" t="s">
        <v>11</v>
      </c>
      <c r="J40" s="200" t="s">
        <v>11</v>
      </c>
      <c r="K40" s="200" t="s">
        <v>11</v>
      </c>
      <c r="L40" s="200" t="s">
        <v>11</v>
      </c>
      <c r="M40" s="200" t="s">
        <v>11</v>
      </c>
    </row>
    <row r="41" spans="2:13" x14ac:dyDescent="0.25">
      <c r="B41" s="503"/>
      <c r="C41" s="504"/>
      <c r="D41" s="33" t="str">
        <f t="shared" si="0"/>
        <v>Occupational health and safety</v>
      </c>
      <c r="E41" s="200" t="s">
        <v>10</v>
      </c>
      <c r="F41" s="200" t="s">
        <v>10</v>
      </c>
      <c r="G41" s="200" t="s">
        <v>10</v>
      </c>
      <c r="H41" s="200" t="s">
        <v>10</v>
      </c>
      <c r="I41" s="200" t="s">
        <v>11</v>
      </c>
      <c r="J41" s="200" t="s">
        <v>10</v>
      </c>
      <c r="K41" s="200" t="s">
        <v>11</v>
      </c>
      <c r="L41" s="200" t="s">
        <v>11</v>
      </c>
      <c r="M41" s="200" t="s">
        <v>10</v>
      </c>
    </row>
    <row r="42" spans="2:13" x14ac:dyDescent="0.25">
      <c r="B42" s="503"/>
      <c r="C42" s="504"/>
      <c r="D42" s="33" t="str">
        <f t="shared" si="0"/>
        <v xml:space="preserve">Human rights, child labor and slavery </v>
      </c>
      <c r="E42" s="200" t="s">
        <v>11</v>
      </c>
      <c r="F42" s="200" t="s">
        <v>11</v>
      </c>
      <c r="G42" s="200" t="s">
        <v>11</v>
      </c>
      <c r="H42" s="200" t="s">
        <v>11</v>
      </c>
      <c r="I42" s="200" t="s">
        <v>11</v>
      </c>
      <c r="J42" s="200" t="s">
        <v>11</v>
      </c>
      <c r="K42" s="200" t="s">
        <v>11</v>
      </c>
      <c r="L42" s="200" t="s">
        <v>11</v>
      </c>
      <c r="M42" s="200" t="s">
        <v>11</v>
      </c>
    </row>
    <row r="43" spans="2:13" x14ac:dyDescent="0.25">
      <c r="B43" s="503"/>
      <c r="C43" s="504" t="s">
        <v>464</v>
      </c>
      <c r="D43" s="33" t="str">
        <f t="shared" si="0"/>
        <v>Impact on food availability and price</v>
      </c>
      <c r="E43" s="200" t="s">
        <v>10</v>
      </c>
      <c r="F43" s="200" t="s">
        <v>10</v>
      </c>
      <c r="G43" s="200" t="s">
        <v>9</v>
      </c>
      <c r="H43" s="200" t="s">
        <v>10</v>
      </c>
      <c r="I43" s="200" t="s">
        <v>9</v>
      </c>
      <c r="J43" s="200" t="s">
        <v>9</v>
      </c>
      <c r="K43" s="200" t="s">
        <v>9</v>
      </c>
      <c r="L43" s="200" t="s">
        <v>9</v>
      </c>
      <c r="M43" s="200" t="s">
        <v>11</v>
      </c>
    </row>
    <row r="44" spans="2:13" ht="50.25" customHeight="1" x14ac:dyDescent="0.25">
      <c r="B44" s="503"/>
      <c r="C44" s="504"/>
      <c r="D44" s="33" t="str">
        <f t="shared" si="0"/>
        <v>Increased and equitable share of revenues &amp; employment opportunities for local communities development</v>
      </c>
      <c r="E44" s="200" t="s">
        <v>10</v>
      </c>
      <c r="F44" s="200" t="s">
        <v>10</v>
      </c>
      <c r="G44" s="200" t="s">
        <v>9</v>
      </c>
      <c r="H44" s="200" t="s">
        <v>10</v>
      </c>
      <c r="I44" s="200" t="s">
        <v>10</v>
      </c>
      <c r="J44" s="200" t="s">
        <v>9</v>
      </c>
      <c r="K44" s="200" t="s">
        <v>10</v>
      </c>
      <c r="L44" s="200" t="s">
        <v>10</v>
      </c>
      <c r="M44" s="200" t="s">
        <v>10</v>
      </c>
    </row>
  </sheetData>
  <mergeCells count="38">
    <mergeCell ref="I2:M2"/>
    <mergeCell ref="H2:H3"/>
    <mergeCell ref="D2:E3"/>
    <mergeCell ref="C2:C3"/>
    <mergeCell ref="B2:B3"/>
    <mergeCell ref="F2:G3"/>
    <mergeCell ref="H14:H18"/>
    <mergeCell ref="D19:E20"/>
    <mergeCell ref="F19:G20"/>
    <mergeCell ref="H19:H20"/>
    <mergeCell ref="H11:H12"/>
    <mergeCell ref="B19:B20"/>
    <mergeCell ref="B11:B13"/>
    <mergeCell ref="D11:E13"/>
    <mergeCell ref="F11:G11"/>
    <mergeCell ref="B14:B18"/>
    <mergeCell ref="D14:E18"/>
    <mergeCell ref="F12:G13"/>
    <mergeCell ref="F14:G18"/>
    <mergeCell ref="H7:H10"/>
    <mergeCell ref="D9:E10"/>
    <mergeCell ref="B4:B6"/>
    <mergeCell ref="D4:E6"/>
    <mergeCell ref="F4:G6"/>
    <mergeCell ref="H4:H5"/>
    <mergeCell ref="F9:G10"/>
    <mergeCell ref="B7:B10"/>
    <mergeCell ref="D7:E8"/>
    <mergeCell ref="F7:G8"/>
    <mergeCell ref="B38:B44"/>
    <mergeCell ref="C38:C42"/>
    <mergeCell ref="C43:C44"/>
    <mergeCell ref="B26:D27"/>
    <mergeCell ref="E26:K26"/>
    <mergeCell ref="B28:B37"/>
    <mergeCell ref="C28:C30"/>
    <mergeCell ref="C31:C34"/>
    <mergeCell ref="C35:C37"/>
  </mergeCells>
  <conditionalFormatting sqref="E28:M44">
    <cfRule type="containsText" dxfId="100" priority="1" operator="containsText" text="Not ">
      <formula>NOT(ISERROR(SEARCH("Not ",E28)))</formula>
    </cfRule>
    <cfRule type="containsText" dxfId="99" priority="2" operator="containsText" text="Low">
      <formula>NOT(ISERROR(SEARCH("Low",E28)))</formula>
    </cfRule>
    <cfRule type="containsText" dxfId="98" priority="3" operator="containsText" text="Medium">
      <formula>NOT(ISERROR(SEARCH("Medium",E28)))</formula>
    </cfRule>
    <cfRule type="containsText" dxfId="97" priority="4" operator="containsText" text="High">
      <formula>NOT(ISERROR(SEARCH("High",E28)))</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71E44-5F6B-447E-A073-D7A3B541C511}">
  <sheetPr>
    <tabColor rgb="FF007D5C"/>
  </sheetPr>
  <dimension ref="A1:Q48"/>
  <sheetViews>
    <sheetView showGridLines="0" topLeftCell="A21" zoomScale="55" zoomScaleNormal="55" workbookViewId="0">
      <pane xSplit="2" topLeftCell="C1" activePane="topRight" state="frozen"/>
      <selection activeCell="A16" sqref="A16"/>
      <selection pane="topRight" activeCell="G22" sqref="G22"/>
    </sheetView>
  </sheetViews>
  <sheetFormatPr defaultRowHeight="12.75" x14ac:dyDescent="0.2"/>
  <cols>
    <col min="1" max="1" width="17.42578125" style="2" customWidth="1"/>
    <col min="2" max="2" width="29.42578125" style="2" customWidth="1"/>
    <col min="3" max="3" width="9.85546875" style="26" customWidth="1"/>
    <col min="4" max="4" width="49.28515625" style="2" customWidth="1"/>
    <col min="5" max="5" width="70.5703125" style="2" customWidth="1"/>
    <col min="6" max="6" width="6.28515625" style="2" hidden="1" customWidth="1"/>
    <col min="7" max="7" width="17" style="2" customWidth="1"/>
    <col min="8" max="8" width="13.7109375" style="2" hidden="1" customWidth="1"/>
    <col min="9" max="9" width="14.5703125" style="2" hidden="1" customWidth="1"/>
    <col min="10" max="10" width="11.42578125" style="2" hidden="1" customWidth="1"/>
    <col min="11" max="11" width="19" style="27" customWidth="1"/>
    <col min="12" max="12" width="53.42578125" style="27" hidden="1" customWidth="1"/>
    <col min="13" max="13" width="53.42578125" style="27" customWidth="1"/>
    <col min="14" max="14" width="72.85546875" style="2" customWidth="1"/>
    <col min="15" max="15" width="68.140625" style="2" customWidth="1"/>
    <col min="16" max="17" width="6.85546875" style="2" hidden="1" customWidth="1"/>
    <col min="18" max="16380" width="8.7109375" style="2"/>
    <col min="16381" max="16382" width="8.7109375" style="2" bestFit="1" customWidth="1"/>
    <col min="16383" max="16384" width="8.7109375" style="2"/>
  </cols>
  <sheetData>
    <row r="1" spans="1:17" ht="30.95" customHeight="1" x14ac:dyDescent="0.2">
      <c r="A1" s="540" t="s">
        <v>276</v>
      </c>
      <c r="B1" s="540"/>
      <c r="C1" s="540"/>
      <c r="D1" s="540"/>
      <c r="E1" s="540"/>
      <c r="F1" s="540"/>
      <c r="G1" s="540"/>
      <c r="H1" s="540"/>
      <c r="I1" s="540"/>
      <c r="J1" s="540"/>
      <c r="K1" s="540"/>
      <c r="L1" s="540"/>
      <c r="M1" s="540"/>
      <c r="N1" s="540"/>
      <c r="O1" s="540"/>
      <c r="P1" s="1"/>
      <c r="Q1" s="1"/>
    </row>
    <row r="2" spans="1:17" ht="45.6" customHeight="1" x14ac:dyDescent="0.2">
      <c r="A2" s="540"/>
      <c r="B2" s="540"/>
      <c r="C2" s="540"/>
      <c r="D2" s="540"/>
      <c r="E2" s="540"/>
      <c r="F2" s="540"/>
      <c r="G2" s="540"/>
      <c r="H2" s="540"/>
      <c r="I2" s="540"/>
      <c r="J2" s="540"/>
      <c r="K2" s="540"/>
      <c r="L2" s="540"/>
      <c r="M2" s="540"/>
      <c r="N2" s="540"/>
      <c r="O2" s="540"/>
      <c r="P2" s="1"/>
      <c r="Q2" s="1"/>
    </row>
    <row r="3" spans="1:17" ht="63" customHeight="1" x14ac:dyDescent="0.2">
      <c r="A3" s="1"/>
      <c r="B3" s="541" t="s">
        <v>244</v>
      </c>
      <c r="C3" s="541"/>
      <c r="D3" s="88">
        <f>Overview!D16</f>
        <v>0</v>
      </c>
      <c r="E3" s="88">
        <f>Overview!D17</f>
        <v>0</v>
      </c>
      <c r="F3" s="1"/>
      <c r="G3" s="1"/>
      <c r="H3" s="1"/>
      <c r="I3" s="1"/>
      <c r="J3" s="1"/>
      <c r="K3" s="145"/>
      <c r="L3" s="145"/>
      <c r="M3" s="145"/>
      <c r="N3" s="1"/>
      <c r="O3" s="1"/>
      <c r="P3" s="1"/>
      <c r="Q3" s="1"/>
    </row>
    <row r="4" spans="1:17" ht="65.45" customHeight="1" x14ac:dyDescent="0.2">
      <c r="A4" s="91" t="s">
        <v>277</v>
      </c>
      <c r="B4" s="91" t="s">
        <v>278</v>
      </c>
      <c r="C4" s="91" t="s">
        <v>13</v>
      </c>
      <c r="D4" s="542" t="s">
        <v>14</v>
      </c>
      <c r="E4" s="543"/>
      <c r="F4" s="91" t="s">
        <v>279</v>
      </c>
      <c r="G4" s="91" t="s">
        <v>15</v>
      </c>
      <c r="H4" s="91" t="s">
        <v>280</v>
      </c>
      <c r="I4" s="91" t="s">
        <v>281</v>
      </c>
      <c r="J4" s="91" t="s">
        <v>282</v>
      </c>
      <c r="K4" s="91" t="s">
        <v>283</v>
      </c>
      <c r="L4" s="91"/>
      <c r="M4" s="97" t="s">
        <v>284</v>
      </c>
      <c r="N4" s="91" t="s">
        <v>54</v>
      </c>
      <c r="O4" s="91" t="s">
        <v>285</v>
      </c>
      <c r="P4" s="1"/>
      <c r="Q4" s="1"/>
    </row>
    <row r="5" spans="1:17" ht="20.100000000000001" customHeight="1" x14ac:dyDescent="0.2">
      <c r="A5" s="544" t="s">
        <v>286</v>
      </c>
      <c r="B5" s="547" t="s">
        <v>287</v>
      </c>
      <c r="C5" s="550">
        <v>1</v>
      </c>
      <c r="D5" s="122"/>
      <c r="E5" s="553" t="s">
        <v>288</v>
      </c>
      <c r="F5" s="54" t="s">
        <v>289</v>
      </c>
      <c r="G5" s="89" t="s">
        <v>290</v>
      </c>
      <c r="H5" s="90">
        <f>IF(G5=F5,0,1)</f>
        <v>1</v>
      </c>
      <c r="I5" s="77">
        <f>H5</f>
        <v>1</v>
      </c>
      <c r="J5" s="556">
        <v>7</v>
      </c>
      <c r="K5" s="558" t="str">
        <f>IF(SUM(I5:I10)&lt;(J5/3),"Low Risk",IF(SUM(I5:I10)&gt;(J5*2/3),"High Risk","Medium Risk"))</f>
        <v>High Risk</v>
      </c>
      <c r="L5" s="559" t="s">
        <v>291</v>
      </c>
      <c r="M5" s="119"/>
      <c r="N5" s="564" t="s">
        <v>292</v>
      </c>
      <c r="O5" s="118" t="s">
        <v>293</v>
      </c>
      <c r="P5" s="51" t="s">
        <v>294</v>
      </c>
      <c r="Q5" s="51">
        <v>3</v>
      </c>
    </row>
    <row r="6" spans="1:17" ht="20.25" x14ac:dyDescent="0.2">
      <c r="A6" s="545"/>
      <c r="B6" s="548"/>
      <c r="C6" s="551"/>
      <c r="D6" s="113"/>
      <c r="E6" s="554"/>
      <c r="F6" s="54" t="s">
        <v>289</v>
      </c>
      <c r="G6" s="48" t="s">
        <v>290</v>
      </c>
      <c r="H6" s="58">
        <f>IF(G6=F6,0,1)</f>
        <v>1</v>
      </c>
      <c r="I6" s="61">
        <f t="shared" ref="I6:I10" si="0">H6</f>
        <v>1</v>
      </c>
      <c r="J6" s="556"/>
      <c r="K6" s="558"/>
      <c r="L6" s="560"/>
      <c r="M6" s="119"/>
      <c r="N6" s="565"/>
      <c r="O6" s="118"/>
      <c r="P6" s="51" t="s">
        <v>295</v>
      </c>
      <c r="Q6" s="51">
        <v>2</v>
      </c>
    </row>
    <row r="7" spans="1:17" ht="50.45" customHeight="1" x14ac:dyDescent="0.2">
      <c r="A7" s="545"/>
      <c r="B7" s="549"/>
      <c r="C7" s="552"/>
      <c r="D7" s="113"/>
      <c r="E7" s="555"/>
      <c r="F7" s="55" t="s">
        <v>289</v>
      </c>
      <c r="G7" s="48" t="s">
        <v>290</v>
      </c>
      <c r="H7" s="58">
        <f>IF(G7=F7,0,1)</f>
        <v>1</v>
      </c>
      <c r="I7" s="61">
        <f t="shared" si="0"/>
        <v>1</v>
      </c>
      <c r="J7" s="556"/>
      <c r="K7" s="558"/>
      <c r="L7" s="561"/>
      <c r="M7" s="119"/>
      <c r="N7" s="566"/>
      <c r="O7" s="118"/>
      <c r="P7" s="51" t="s">
        <v>296</v>
      </c>
      <c r="Q7" s="51">
        <v>1</v>
      </c>
    </row>
    <row r="8" spans="1:17" ht="166.5" customHeight="1" x14ac:dyDescent="0.2">
      <c r="A8" s="545"/>
      <c r="B8" s="567" t="s">
        <v>169</v>
      </c>
      <c r="C8" s="146">
        <v>1</v>
      </c>
      <c r="D8" s="43" t="s">
        <v>297</v>
      </c>
      <c r="E8" s="165" t="s">
        <v>298</v>
      </c>
      <c r="F8" s="52" t="s">
        <v>290</v>
      </c>
      <c r="G8" s="48" t="s">
        <v>290</v>
      </c>
      <c r="H8" s="58">
        <f>IF(G8=F8,0,1)</f>
        <v>0</v>
      </c>
      <c r="I8" s="61">
        <f t="shared" si="0"/>
        <v>0</v>
      </c>
      <c r="J8" s="556"/>
      <c r="K8" s="558"/>
      <c r="L8" s="44" t="s">
        <v>299</v>
      </c>
      <c r="M8" s="98"/>
      <c r="N8" s="33" t="s">
        <v>300</v>
      </c>
      <c r="O8" s="562" t="s">
        <v>301</v>
      </c>
      <c r="P8" s="57" t="s">
        <v>302</v>
      </c>
      <c r="Q8" s="57">
        <v>0</v>
      </c>
    </row>
    <row r="9" spans="1:17" ht="131.44999999999999" customHeight="1" x14ac:dyDescent="0.2">
      <c r="A9" s="545"/>
      <c r="B9" s="568"/>
      <c r="C9" s="146">
        <v>2</v>
      </c>
      <c r="D9" s="43" t="s">
        <v>303</v>
      </c>
      <c r="E9" s="166" t="s">
        <v>304</v>
      </c>
      <c r="F9" s="50"/>
      <c r="G9" s="48"/>
      <c r="H9" s="58"/>
      <c r="I9" s="61"/>
      <c r="J9" s="556"/>
      <c r="K9" s="558"/>
      <c r="L9" s="44"/>
      <c r="M9" s="98"/>
      <c r="N9" s="33" t="s">
        <v>305</v>
      </c>
      <c r="O9" s="563"/>
      <c r="P9" s="57"/>
      <c r="Q9" s="57"/>
    </row>
    <row r="10" spans="1:17" ht="267" customHeight="1" x14ac:dyDescent="0.2">
      <c r="A10" s="546"/>
      <c r="B10" s="106" t="s">
        <v>171</v>
      </c>
      <c r="C10" s="65">
        <v>3</v>
      </c>
      <c r="D10" s="34" t="s">
        <v>306</v>
      </c>
      <c r="E10" s="50" t="s">
        <v>307</v>
      </c>
      <c r="F10" s="50"/>
      <c r="G10" s="47" t="s">
        <v>295</v>
      </c>
      <c r="H10" s="58">
        <f>VLOOKUP(G10,$P$5:$Q$8,2,0)</f>
        <v>2</v>
      </c>
      <c r="I10" s="61">
        <f t="shared" si="0"/>
        <v>2</v>
      </c>
      <c r="J10" s="557"/>
      <c r="K10" s="558"/>
      <c r="L10" s="43" t="s">
        <v>308</v>
      </c>
      <c r="M10" s="43"/>
      <c r="N10" s="33" t="s">
        <v>309</v>
      </c>
      <c r="O10" s="105" t="s">
        <v>310</v>
      </c>
      <c r="P10" s="57" t="s">
        <v>290</v>
      </c>
      <c r="Q10" s="57"/>
    </row>
    <row r="11" spans="1:17" ht="179.45" customHeight="1" x14ac:dyDescent="0.2">
      <c r="A11" s="569" t="s">
        <v>311</v>
      </c>
      <c r="B11" s="107" t="s">
        <v>175</v>
      </c>
      <c r="C11" s="65">
        <v>4</v>
      </c>
      <c r="D11" s="34" t="s">
        <v>69</v>
      </c>
      <c r="E11" s="45" t="s">
        <v>312</v>
      </c>
      <c r="F11" s="45"/>
      <c r="G11" s="47" t="s">
        <v>294</v>
      </c>
      <c r="H11" s="58">
        <f>VLOOKUP(G11,$P$5:$Q$8,2,0)</f>
        <v>3</v>
      </c>
      <c r="I11" s="60">
        <f>AVERAGE($H$10:$H$11)</f>
        <v>2.5</v>
      </c>
      <c r="J11" s="571">
        <f>13</f>
        <v>13</v>
      </c>
      <c r="K11" s="574" t="str">
        <f>IF(G11&lt;&gt;"A",(IF(SUM(I11:I15)&lt;(J11/3),"Low Risk",IF(SUM(I11:I15)&gt;(J11*2/3),"High Risk","Medium Risk"))),"High Risk")</f>
        <v>High Risk</v>
      </c>
      <c r="L11" s="34" t="s">
        <v>313</v>
      </c>
      <c r="M11" s="92"/>
      <c r="N11" s="35" t="s">
        <v>314</v>
      </c>
      <c r="O11" s="112" t="s">
        <v>315</v>
      </c>
      <c r="P11" s="51" t="s">
        <v>289</v>
      </c>
      <c r="Q11" s="51"/>
    </row>
    <row r="12" spans="1:17" ht="164.45" customHeight="1" x14ac:dyDescent="0.2">
      <c r="A12" s="570"/>
      <c r="B12" s="108" t="s">
        <v>178</v>
      </c>
      <c r="C12" s="65">
        <v>5</v>
      </c>
      <c r="D12" s="34" t="s">
        <v>316</v>
      </c>
      <c r="E12" s="33" t="s">
        <v>317</v>
      </c>
      <c r="F12" s="33"/>
      <c r="G12" s="47" t="s">
        <v>302</v>
      </c>
      <c r="H12" s="58">
        <f>VLOOKUP(G12,$P$5:$Q$8,2,0)</f>
        <v>0</v>
      </c>
      <c r="I12" s="61">
        <f t="shared" ref="I12:I20" si="1">H12</f>
        <v>0</v>
      </c>
      <c r="J12" s="572"/>
      <c r="K12" s="575"/>
      <c r="L12" s="34" t="s">
        <v>318</v>
      </c>
      <c r="M12" s="92"/>
      <c r="N12" s="35" t="s">
        <v>319</v>
      </c>
      <c r="O12" s="112" t="s">
        <v>320</v>
      </c>
      <c r="P12" s="51" t="s">
        <v>321</v>
      </c>
      <c r="Q12" s="51"/>
    </row>
    <row r="13" spans="1:17" ht="101.45" customHeight="1" x14ac:dyDescent="0.2">
      <c r="A13" s="570"/>
      <c r="B13" s="577" t="s">
        <v>181</v>
      </c>
      <c r="C13" s="146">
        <v>6</v>
      </c>
      <c r="D13" s="34" t="s">
        <v>322</v>
      </c>
      <c r="E13" s="56" t="s">
        <v>323</v>
      </c>
      <c r="F13" s="56"/>
      <c r="G13" s="47" t="s">
        <v>302</v>
      </c>
      <c r="H13" s="58">
        <f>VLOOKUP(G13,$P$5:$Q$8,2,0)</f>
        <v>0</v>
      </c>
      <c r="I13" s="99">
        <f t="shared" si="1"/>
        <v>0</v>
      </c>
      <c r="J13" s="572"/>
      <c r="K13" s="575"/>
      <c r="L13" s="34" t="s">
        <v>324</v>
      </c>
      <c r="M13" s="92"/>
      <c r="N13" s="35" t="s">
        <v>325</v>
      </c>
      <c r="O13" s="111" t="s">
        <v>326</v>
      </c>
      <c r="P13" s="51"/>
      <c r="Q13" s="51"/>
    </row>
    <row r="14" spans="1:17" ht="20.25" x14ac:dyDescent="0.2">
      <c r="A14" s="570"/>
      <c r="B14" s="578"/>
      <c r="C14" s="147"/>
      <c r="D14" s="113"/>
      <c r="E14" s="114"/>
      <c r="F14" s="53" t="s">
        <v>289</v>
      </c>
      <c r="G14" s="47" t="s">
        <v>289</v>
      </c>
      <c r="H14" s="58">
        <f>IF(G14=F14,0,1)</f>
        <v>0</v>
      </c>
      <c r="I14" s="61">
        <f t="shared" si="1"/>
        <v>0</v>
      </c>
      <c r="J14" s="572"/>
      <c r="K14" s="575"/>
      <c r="L14" s="41" t="s">
        <v>327</v>
      </c>
      <c r="M14" s="117"/>
      <c r="N14" s="116" t="s">
        <v>328</v>
      </c>
      <c r="O14" s="123"/>
      <c r="P14" s="57"/>
      <c r="Q14" s="57"/>
    </row>
    <row r="15" spans="1:17" ht="150" customHeight="1" x14ac:dyDescent="0.2">
      <c r="A15" s="570"/>
      <c r="B15" s="108" t="s">
        <v>195</v>
      </c>
      <c r="C15" s="148"/>
      <c r="D15" s="113"/>
      <c r="E15" s="114"/>
      <c r="F15" s="53"/>
      <c r="G15" s="47" t="s">
        <v>302</v>
      </c>
      <c r="H15" s="58">
        <f>VLOOKUP(G15,$P$5:$Q$8,2,0)</f>
        <v>0</v>
      </c>
      <c r="I15" s="61">
        <f t="shared" si="1"/>
        <v>0</v>
      </c>
      <c r="J15" s="573"/>
      <c r="K15" s="576"/>
      <c r="L15" s="41" t="s">
        <v>329</v>
      </c>
      <c r="M15" s="117"/>
      <c r="N15" s="116" t="s">
        <v>330</v>
      </c>
      <c r="O15" s="124"/>
      <c r="P15" s="57"/>
      <c r="Q15" s="57"/>
    </row>
    <row r="16" spans="1:17" ht="69.599999999999994" customHeight="1" x14ac:dyDescent="0.2">
      <c r="A16" s="579" t="s">
        <v>256</v>
      </c>
      <c r="B16" s="109" t="s">
        <v>202</v>
      </c>
      <c r="C16" s="147">
        <v>9</v>
      </c>
      <c r="D16" s="113"/>
      <c r="E16" s="114"/>
      <c r="F16" s="53" t="s">
        <v>289</v>
      </c>
      <c r="G16" s="47" t="s">
        <v>290</v>
      </c>
      <c r="H16" s="58">
        <f>IF(G16=F16,0,1)</f>
        <v>1</v>
      </c>
      <c r="I16" s="101">
        <f t="shared" si="1"/>
        <v>1</v>
      </c>
      <c r="J16" s="580">
        <v>7</v>
      </c>
      <c r="K16" s="574" t="str">
        <f>IF(SUM(I16:I18)&lt;(J16/3),"Low Risk",IF(SUM(I16:I18)&gt;(J16*2/3),"High Risk","Medium Risk"))</f>
        <v>Medium Risk</v>
      </c>
      <c r="L16" s="42" t="s">
        <v>331</v>
      </c>
      <c r="M16" s="115"/>
      <c r="N16" s="116" t="s">
        <v>330</v>
      </c>
      <c r="O16" s="120"/>
      <c r="P16" s="51"/>
      <c r="Q16" s="51"/>
    </row>
    <row r="17" spans="1:17" ht="181.5" customHeight="1" x14ac:dyDescent="0.2">
      <c r="A17" s="579"/>
      <c r="B17" s="109" t="s">
        <v>204</v>
      </c>
      <c r="C17" s="147">
        <v>10</v>
      </c>
      <c r="D17" s="113"/>
      <c r="E17" s="114"/>
      <c r="F17" s="53"/>
      <c r="G17" s="47" t="s">
        <v>295</v>
      </c>
      <c r="H17" s="58">
        <f>VLOOKUP(G17,$P$5:$Q$8,2,0)</f>
        <v>2</v>
      </c>
      <c r="I17" s="62">
        <f t="shared" si="1"/>
        <v>2</v>
      </c>
      <c r="J17" s="580"/>
      <c r="K17" s="575"/>
      <c r="L17" s="41" t="s">
        <v>329</v>
      </c>
      <c r="M17" s="117"/>
      <c r="N17" s="116" t="s">
        <v>330</v>
      </c>
      <c r="O17" s="144"/>
      <c r="P17" s="57"/>
      <c r="Q17" s="57"/>
    </row>
    <row r="18" spans="1:17" ht="144" customHeight="1" x14ac:dyDescent="0.2">
      <c r="A18" s="579"/>
      <c r="B18" s="109" t="s">
        <v>184</v>
      </c>
      <c r="C18" s="146">
        <v>7</v>
      </c>
      <c r="D18" s="34" t="s">
        <v>332</v>
      </c>
      <c r="E18" s="53" t="s">
        <v>333</v>
      </c>
      <c r="F18" s="53"/>
      <c r="G18" s="59" t="s">
        <v>296</v>
      </c>
      <c r="H18" s="58">
        <f>VLOOKUP(G18,$P$5:$Q$8,2,0)</f>
        <v>1</v>
      </c>
      <c r="I18" s="62">
        <f t="shared" si="1"/>
        <v>1</v>
      </c>
      <c r="J18" s="580"/>
      <c r="K18" s="576"/>
      <c r="L18" s="44" t="s">
        <v>334</v>
      </c>
      <c r="M18" s="44"/>
      <c r="N18" s="33" t="s">
        <v>335</v>
      </c>
      <c r="O18" s="104" t="s">
        <v>186</v>
      </c>
      <c r="P18" s="1"/>
      <c r="Q18" s="1"/>
    </row>
    <row r="19" spans="1:17" ht="110.1" customHeight="1" x14ac:dyDescent="0.2">
      <c r="A19" s="581" t="s">
        <v>60</v>
      </c>
      <c r="B19" s="581" t="s">
        <v>188</v>
      </c>
      <c r="C19" s="147">
        <v>12</v>
      </c>
      <c r="D19" s="113"/>
      <c r="E19" s="114" t="s">
        <v>336</v>
      </c>
      <c r="F19" s="53" t="s">
        <v>290</v>
      </c>
      <c r="G19" s="47" t="s">
        <v>290</v>
      </c>
      <c r="H19" s="58">
        <f>IF(G19=F19,0,1)</f>
        <v>0</v>
      </c>
      <c r="I19" s="62">
        <f t="shared" si="1"/>
        <v>0</v>
      </c>
      <c r="J19" s="583">
        <f>18.8</f>
        <v>18.8</v>
      </c>
      <c r="K19" s="586" t="str">
        <f>IF(G26&lt;&gt;"Y",IF(SUM(I19:I27)&lt;(J19/3),"Low Risk",IF(SUM(I19:I27)&gt;(J19*2/3),"High Risk","Medium Risk")),"High Risk")</f>
        <v>High Risk</v>
      </c>
      <c r="L19" s="41" t="s">
        <v>337</v>
      </c>
      <c r="M19" s="117"/>
      <c r="N19" s="116" t="s">
        <v>338</v>
      </c>
      <c r="O19" s="120"/>
      <c r="P19" s="51"/>
      <c r="Q19" s="51"/>
    </row>
    <row r="20" spans="1:17" ht="104.45" customHeight="1" x14ac:dyDescent="0.2">
      <c r="A20" s="581"/>
      <c r="B20" s="581"/>
      <c r="C20" s="146">
        <v>8</v>
      </c>
      <c r="D20" s="34" t="s">
        <v>339</v>
      </c>
      <c r="E20" s="53" t="s">
        <v>336</v>
      </c>
      <c r="F20" s="53" t="s">
        <v>289</v>
      </c>
      <c r="G20" s="47" t="s">
        <v>289</v>
      </c>
      <c r="H20" s="58">
        <f>IF(G20=F20,0,1)</f>
        <v>0</v>
      </c>
      <c r="I20" s="62">
        <f t="shared" si="1"/>
        <v>0</v>
      </c>
      <c r="J20" s="584"/>
      <c r="K20" s="558"/>
      <c r="L20" s="41" t="s">
        <v>340</v>
      </c>
      <c r="M20" s="93"/>
      <c r="N20" s="35" t="s">
        <v>341</v>
      </c>
      <c r="O20" s="104" t="s">
        <v>342</v>
      </c>
      <c r="P20" s="51"/>
      <c r="Q20" s="51"/>
    </row>
    <row r="21" spans="1:17" ht="123.95" customHeight="1" x14ac:dyDescent="0.2">
      <c r="A21" s="581"/>
      <c r="B21" s="110" t="s">
        <v>192</v>
      </c>
      <c r="C21" s="146">
        <v>9</v>
      </c>
      <c r="D21" s="43" t="s">
        <v>343</v>
      </c>
      <c r="E21" s="164" t="s">
        <v>344</v>
      </c>
      <c r="F21" s="53" t="s">
        <v>289</v>
      </c>
      <c r="G21" s="47" t="s">
        <v>289</v>
      </c>
      <c r="H21" s="58">
        <f>IF(G21=F21,0,1)</f>
        <v>0</v>
      </c>
      <c r="I21" s="60">
        <f>AVERAGE(H21,H15:H17)</f>
        <v>0.75</v>
      </c>
      <c r="J21" s="584"/>
      <c r="K21" s="558"/>
      <c r="L21" s="41" t="s">
        <v>345</v>
      </c>
      <c r="M21" s="93"/>
      <c r="N21" s="35" t="s">
        <v>346</v>
      </c>
      <c r="O21" s="31" t="s">
        <v>194</v>
      </c>
      <c r="P21" s="49"/>
      <c r="Q21" s="49"/>
    </row>
    <row r="22" spans="1:17" ht="139.5" customHeight="1" x14ac:dyDescent="0.2">
      <c r="A22" s="581"/>
      <c r="B22" s="110" t="s">
        <v>197</v>
      </c>
      <c r="C22" s="146">
        <v>15</v>
      </c>
      <c r="D22" s="43" t="s">
        <v>347</v>
      </c>
      <c r="E22" s="164" t="s">
        <v>348</v>
      </c>
      <c r="F22" s="53"/>
      <c r="G22" s="48" t="s">
        <v>321</v>
      </c>
      <c r="H22" s="58" cm="1">
        <f t="array" ref="H22">_xlfn.SWITCH(G22,"Y",2,"N",0,"N/A",1)</f>
        <v>1</v>
      </c>
      <c r="I22" s="61">
        <f>H22</f>
        <v>1</v>
      </c>
      <c r="J22" s="584"/>
      <c r="K22" s="558"/>
      <c r="L22" s="40" t="s">
        <v>349</v>
      </c>
      <c r="M22" s="167"/>
      <c r="N22" s="35" t="s">
        <v>350</v>
      </c>
      <c r="O22" s="103" t="s">
        <v>199</v>
      </c>
      <c r="P22" s="49"/>
      <c r="Q22" s="49"/>
    </row>
    <row r="23" spans="1:17" ht="85.5" customHeight="1" x14ac:dyDescent="0.2">
      <c r="A23" s="581"/>
      <c r="B23" s="110" t="s">
        <v>216</v>
      </c>
      <c r="C23" s="146">
        <v>16</v>
      </c>
      <c r="D23" s="113"/>
      <c r="E23" s="114" t="s">
        <v>351</v>
      </c>
      <c r="F23" s="53"/>
      <c r="G23" s="48" t="s">
        <v>290</v>
      </c>
      <c r="H23" s="58" cm="1">
        <f t="array" ref="H23">_xlfn.SWITCH(G23,"Y",0,"N",2,"N/A",1)</f>
        <v>0</v>
      </c>
      <c r="I23" s="60">
        <f>AVERAGE(H23,H17:H18,H15)</f>
        <v>0.75</v>
      </c>
      <c r="J23" s="584"/>
      <c r="K23" s="558"/>
      <c r="L23" s="41" t="s">
        <v>352</v>
      </c>
      <c r="M23" s="117"/>
      <c r="N23" s="129" t="s">
        <v>353</v>
      </c>
      <c r="O23" s="121"/>
      <c r="P23" s="49"/>
      <c r="Q23" s="49"/>
    </row>
    <row r="24" spans="1:17" ht="59.45" customHeight="1" x14ac:dyDescent="0.2">
      <c r="A24" s="581"/>
      <c r="B24" s="588" t="s">
        <v>200</v>
      </c>
      <c r="C24" s="146">
        <v>17</v>
      </c>
      <c r="D24" s="125"/>
      <c r="E24" s="114" t="s">
        <v>351</v>
      </c>
      <c r="F24" s="53"/>
      <c r="G24" s="48" t="s">
        <v>290</v>
      </c>
      <c r="H24" s="58" cm="1">
        <f t="array" ref="H24">_xlfn.SWITCH(G24,"Y",0,"N",2,"N/A",1)</f>
        <v>0</v>
      </c>
      <c r="I24" s="61">
        <f>H24</f>
        <v>0</v>
      </c>
      <c r="J24" s="584"/>
      <c r="K24" s="558"/>
      <c r="L24" s="41" t="s">
        <v>354</v>
      </c>
      <c r="M24" s="127"/>
      <c r="N24" s="120" t="s">
        <v>355</v>
      </c>
      <c r="O24" s="121"/>
      <c r="P24" s="49"/>
      <c r="Q24" s="49"/>
    </row>
    <row r="25" spans="1:17" ht="25.5" x14ac:dyDescent="0.2">
      <c r="A25" s="582"/>
      <c r="B25" s="589"/>
      <c r="C25" s="146">
        <v>18</v>
      </c>
      <c r="D25" s="125"/>
      <c r="E25" s="114" t="s">
        <v>351</v>
      </c>
      <c r="F25" s="53"/>
      <c r="G25" s="48" t="s">
        <v>290</v>
      </c>
      <c r="H25" s="58" cm="1">
        <f t="array" ref="H25">_xlfn.SWITCH(G25,"Y",0,"N",2,"N/A",1)</f>
        <v>0</v>
      </c>
      <c r="I25" s="61">
        <f>H25</f>
        <v>0</v>
      </c>
      <c r="J25" s="584"/>
      <c r="K25" s="558"/>
      <c r="L25" s="41" t="s">
        <v>354</v>
      </c>
      <c r="M25" s="128"/>
      <c r="N25" s="121"/>
      <c r="O25" s="121"/>
      <c r="P25" s="51"/>
      <c r="Q25" s="51"/>
    </row>
    <row r="26" spans="1:17" ht="119.1" customHeight="1" x14ac:dyDescent="0.2">
      <c r="A26" s="582"/>
      <c r="B26" s="589"/>
      <c r="C26" s="146">
        <v>10</v>
      </c>
      <c r="D26" s="66" t="s">
        <v>356</v>
      </c>
      <c r="E26" s="53" t="s">
        <v>351</v>
      </c>
      <c r="F26" s="53"/>
      <c r="G26" s="48" t="s">
        <v>290</v>
      </c>
      <c r="H26" s="58" cm="1">
        <f t="array" ref="H26">_xlfn.SWITCH(G26,"Y",3,"N",1,"N/A",2)</f>
        <v>3</v>
      </c>
      <c r="I26" s="61">
        <f>H26</f>
        <v>3</v>
      </c>
      <c r="J26" s="584"/>
      <c r="K26" s="558"/>
      <c r="L26" s="40" t="s">
        <v>357</v>
      </c>
      <c r="M26" s="95"/>
      <c r="N26" s="104" t="s">
        <v>358</v>
      </c>
      <c r="O26" s="509" t="s">
        <v>359</v>
      </c>
      <c r="P26" s="51"/>
      <c r="Q26" s="51"/>
    </row>
    <row r="27" spans="1:17" ht="132.6" customHeight="1" x14ac:dyDescent="0.2">
      <c r="A27" s="582"/>
      <c r="B27" s="589"/>
      <c r="C27" s="146">
        <v>11</v>
      </c>
      <c r="D27" s="34" t="s">
        <v>360</v>
      </c>
      <c r="E27" s="53" t="s">
        <v>361</v>
      </c>
      <c r="F27" s="53"/>
      <c r="G27" s="48" t="s">
        <v>296</v>
      </c>
      <c r="H27" s="58">
        <f>VLOOKUP(G27,$P$5:$Q$8,2,0)</f>
        <v>1</v>
      </c>
      <c r="I27" s="61">
        <f t="shared" ref="I27:I36" si="2">H27</f>
        <v>1</v>
      </c>
      <c r="J27" s="585"/>
      <c r="K27" s="587"/>
      <c r="L27" s="41" t="s">
        <v>362</v>
      </c>
      <c r="M27" s="96"/>
      <c r="N27" s="104" t="s">
        <v>363</v>
      </c>
      <c r="O27" s="510"/>
      <c r="P27" s="51"/>
      <c r="Q27" s="51"/>
    </row>
    <row r="28" spans="1:17" ht="90.6" customHeight="1" x14ac:dyDescent="0.2">
      <c r="A28" s="590" t="s">
        <v>364</v>
      </c>
      <c r="B28" s="591" t="s">
        <v>206</v>
      </c>
      <c r="C28" s="146">
        <v>12</v>
      </c>
      <c r="D28" s="34" t="s">
        <v>365</v>
      </c>
      <c r="E28" s="53" t="s">
        <v>366</v>
      </c>
      <c r="F28" s="53"/>
      <c r="G28" s="48" t="s">
        <v>295</v>
      </c>
      <c r="H28" s="58">
        <f>VLOOKUP(G28,$P$5:$Q$8,2,0)</f>
        <v>2</v>
      </c>
      <c r="I28" s="61">
        <f t="shared" si="2"/>
        <v>2</v>
      </c>
      <c r="J28" s="594">
        <v>15</v>
      </c>
      <c r="K28" s="597" t="str">
        <f>IF(SUM(I28:I37)&lt;(J28/3),"Low Risk",IF(SUM(I28:I37)&gt;(J28*2/3),"High Risk","Medium Risk"))</f>
        <v>Medium Risk</v>
      </c>
      <c r="L28" s="41" t="s">
        <v>367</v>
      </c>
      <c r="M28" s="94"/>
      <c r="N28" s="508" t="s">
        <v>368</v>
      </c>
      <c r="O28" s="102" t="s">
        <v>369</v>
      </c>
      <c r="P28" s="51"/>
      <c r="Q28" s="51"/>
    </row>
    <row r="29" spans="1:17" ht="30" x14ac:dyDescent="0.2">
      <c r="A29" s="590"/>
      <c r="B29" s="592"/>
      <c r="C29" s="603">
        <v>13</v>
      </c>
      <c r="D29" s="34" t="s">
        <v>370</v>
      </c>
      <c r="E29" s="606" t="s">
        <v>288</v>
      </c>
      <c r="F29" s="45" t="s">
        <v>289</v>
      </c>
      <c r="G29" s="48" t="s">
        <v>289</v>
      </c>
      <c r="H29" s="58">
        <f t="shared" ref="H29:H33" si="3">IF(G29=F29,0,1)</f>
        <v>0</v>
      </c>
      <c r="I29" s="61">
        <f t="shared" si="2"/>
        <v>0</v>
      </c>
      <c r="J29" s="595"/>
      <c r="K29" s="598"/>
      <c r="L29" s="609" t="s">
        <v>371</v>
      </c>
      <c r="M29" s="78"/>
      <c r="N29" s="509"/>
      <c r="O29" s="103"/>
      <c r="P29" s="51"/>
      <c r="Q29" s="51"/>
    </row>
    <row r="30" spans="1:17" ht="20.25" x14ac:dyDescent="0.2">
      <c r="A30" s="590"/>
      <c r="B30" s="592"/>
      <c r="C30" s="604"/>
      <c r="D30" s="34" t="s">
        <v>372</v>
      </c>
      <c r="E30" s="607"/>
      <c r="F30" s="54" t="s">
        <v>289</v>
      </c>
      <c r="G30" s="48" t="s">
        <v>290</v>
      </c>
      <c r="H30" s="58">
        <f t="shared" si="3"/>
        <v>1</v>
      </c>
      <c r="I30" s="61">
        <f t="shared" si="2"/>
        <v>1</v>
      </c>
      <c r="J30" s="595"/>
      <c r="K30" s="598"/>
      <c r="L30" s="610"/>
      <c r="M30" s="78"/>
      <c r="N30" s="509"/>
      <c r="O30" s="103"/>
      <c r="P30" s="51"/>
      <c r="Q30" s="51"/>
    </row>
    <row r="31" spans="1:17" ht="20.25" x14ac:dyDescent="0.2">
      <c r="A31" s="590"/>
      <c r="B31" s="592"/>
      <c r="C31" s="605"/>
      <c r="D31" s="34" t="s">
        <v>373</v>
      </c>
      <c r="E31" s="608"/>
      <c r="F31" s="55" t="s">
        <v>289</v>
      </c>
      <c r="G31" s="48" t="s">
        <v>290</v>
      </c>
      <c r="H31" s="58">
        <f t="shared" si="3"/>
        <v>1</v>
      </c>
      <c r="I31" s="61">
        <f t="shared" si="2"/>
        <v>1</v>
      </c>
      <c r="J31" s="595"/>
      <c r="K31" s="598"/>
      <c r="L31" s="611"/>
      <c r="M31" s="78"/>
      <c r="N31" s="509"/>
      <c r="O31" s="103"/>
      <c r="P31" s="51"/>
      <c r="Q31" s="51"/>
    </row>
    <row r="32" spans="1:17" ht="45" x14ac:dyDescent="0.2">
      <c r="A32" s="590"/>
      <c r="B32" s="592"/>
      <c r="C32" s="603">
        <v>14</v>
      </c>
      <c r="D32" s="34" t="s">
        <v>374</v>
      </c>
      <c r="E32" s="606" t="s">
        <v>288</v>
      </c>
      <c r="F32" s="45" t="s">
        <v>289</v>
      </c>
      <c r="G32" s="48" t="s">
        <v>289</v>
      </c>
      <c r="H32" s="58">
        <f t="shared" si="3"/>
        <v>0</v>
      </c>
      <c r="I32" s="61">
        <f t="shared" si="2"/>
        <v>0</v>
      </c>
      <c r="J32" s="595"/>
      <c r="K32" s="598"/>
      <c r="L32" s="612" t="s">
        <v>371</v>
      </c>
      <c r="M32" s="79"/>
      <c r="N32" s="509"/>
      <c r="O32" s="103"/>
      <c r="P32" s="51"/>
      <c r="Q32" s="51"/>
    </row>
    <row r="33" spans="1:17" ht="45" x14ac:dyDescent="0.2">
      <c r="A33" s="590"/>
      <c r="B33" s="592"/>
      <c r="C33" s="604"/>
      <c r="D33" s="34" t="s">
        <v>375</v>
      </c>
      <c r="E33" s="607"/>
      <c r="F33" s="54" t="s">
        <v>289</v>
      </c>
      <c r="G33" s="48" t="s">
        <v>290</v>
      </c>
      <c r="H33" s="58">
        <f t="shared" si="3"/>
        <v>1</v>
      </c>
      <c r="I33" s="61">
        <f t="shared" si="2"/>
        <v>1</v>
      </c>
      <c r="J33" s="595"/>
      <c r="K33" s="598"/>
      <c r="L33" s="613"/>
      <c r="M33" s="79"/>
      <c r="N33" s="509"/>
      <c r="O33" s="103"/>
      <c r="P33" s="51"/>
      <c r="Q33" s="51"/>
    </row>
    <row r="34" spans="1:17" ht="30" x14ac:dyDescent="0.2">
      <c r="A34" s="590"/>
      <c r="B34" s="593"/>
      <c r="C34" s="605"/>
      <c r="D34" s="34" t="s">
        <v>376</v>
      </c>
      <c r="E34" s="608"/>
      <c r="F34" s="55" t="s">
        <v>289</v>
      </c>
      <c r="G34" s="48" t="s">
        <v>290</v>
      </c>
      <c r="H34" s="58">
        <f>IF(G34=F34,0,1)</f>
        <v>1</v>
      </c>
      <c r="I34" s="61">
        <f t="shared" si="2"/>
        <v>1</v>
      </c>
      <c r="J34" s="595"/>
      <c r="K34" s="598"/>
      <c r="L34" s="614"/>
      <c r="M34" s="80"/>
      <c r="N34" s="510"/>
      <c r="O34" s="103"/>
      <c r="P34" s="51"/>
      <c r="Q34" s="51"/>
    </row>
    <row r="35" spans="1:17" ht="95.45" customHeight="1" x14ac:dyDescent="0.2">
      <c r="A35" s="590"/>
      <c r="B35" s="63" t="s">
        <v>209</v>
      </c>
      <c r="C35" s="146">
        <v>24</v>
      </c>
      <c r="D35" s="113"/>
      <c r="E35" s="114" t="s">
        <v>377</v>
      </c>
      <c r="F35" s="53"/>
      <c r="G35" s="48" t="s">
        <v>302</v>
      </c>
      <c r="H35" s="58">
        <f>VLOOKUP(G35,$P$5:$Q$8,2,0)</f>
        <v>0</v>
      </c>
      <c r="I35" s="61">
        <f t="shared" si="2"/>
        <v>0</v>
      </c>
      <c r="J35" s="595"/>
      <c r="K35" s="598"/>
      <c r="L35" s="44" t="s">
        <v>378</v>
      </c>
      <c r="M35" s="131"/>
      <c r="N35" s="116" t="s">
        <v>379</v>
      </c>
      <c r="O35" s="121"/>
      <c r="P35" s="51"/>
      <c r="Q35" s="51"/>
    </row>
    <row r="36" spans="1:17" ht="90" customHeight="1" x14ac:dyDescent="0.2">
      <c r="A36" s="590"/>
      <c r="B36" s="81"/>
      <c r="C36" s="146">
        <v>15</v>
      </c>
      <c r="D36" s="34" t="s">
        <v>380</v>
      </c>
      <c r="E36" s="53" t="s">
        <v>381</v>
      </c>
      <c r="F36" s="53" t="s">
        <v>294</v>
      </c>
      <c r="G36" s="48" t="s">
        <v>295</v>
      </c>
      <c r="H36" s="58">
        <f>IF(G36=F36,1,2)</f>
        <v>2</v>
      </c>
      <c r="I36" s="61">
        <f t="shared" si="2"/>
        <v>2</v>
      </c>
      <c r="J36" s="595"/>
      <c r="K36" s="598"/>
      <c r="L36" s="44" t="s">
        <v>382</v>
      </c>
      <c r="M36" s="85"/>
      <c r="N36" s="35" t="s">
        <v>383</v>
      </c>
      <c r="O36" s="31" t="s">
        <v>384</v>
      </c>
      <c r="P36" s="51"/>
      <c r="Q36" s="51"/>
    </row>
    <row r="37" spans="1:17" ht="55.5" customHeight="1" x14ac:dyDescent="0.2">
      <c r="A37" s="590"/>
      <c r="B37" s="100"/>
      <c r="C37" s="146">
        <v>26</v>
      </c>
      <c r="D37" s="113"/>
      <c r="E37" s="114" t="s">
        <v>336</v>
      </c>
      <c r="F37" s="53"/>
      <c r="G37" s="48" t="s">
        <v>289</v>
      </c>
      <c r="H37" s="58">
        <f>IF(G33=F33,0,1)</f>
        <v>1</v>
      </c>
      <c r="I37" s="61">
        <f>H37</f>
        <v>1</v>
      </c>
      <c r="J37" s="596"/>
      <c r="K37" s="599"/>
      <c r="L37" s="40" t="s">
        <v>385</v>
      </c>
      <c r="M37" s="126"/>
      <c r="N37" s="116" t="s">
        <v>386</v>
      </c>
      <c r="O37" s="149"/>
      <c r="P37" s="51"/>
      <c r="Q37" s="51"/>
    </row>
    <row r="38" spans="1:17" ht="54.6" customHeight="1" x14ac:dyDescent="0.2">
      <c r="A38" s="1"/>
      <c r="B38" s="1"/>
      <c r="C38" s="150"/>
      <c r="D38" s="600" t="s">
        <v>387</v>
      </c>
      <c r="E38" s="601"/>
      <c r="F38" s="46"/>
      <c r="G38" s="602" t="str">
        <f>IF((G42&gt;=20.26)*(G42&lt;40.53),"Preferred with Mitigation options",IF((G42&gt;=40.53),"Avoid","Preferred"))</f>
        <v>Preferred with Mitigation options</v>
      </c>
      <c r="H38" s="602"/>
      <c r="I38" s="602"/>
      <c r="J38" s="602"/>
      <c r="K38" s="602"/>
      <c r="L38" s="28"/>
      <c r="M38" s="28"/>
      <c r="N38" s="1"/>
      <c r="O38" s="1"/>
      <c r="P38" s="1"/>
      <c r="Q38" s="1"/>
    </row>
    <row r="39" spans="1:17" ht="12.75" customHeight="1" x14ac:dyDescent="0.2">
      <c r="A39" s="1"/>
      <c r="B39" s="1"/>
      <c r="C39" s="150"/>
      <c r="D39" s="150"/>
      <c r="E39" s="150"/>
      <c r="F39" s="150"/>
      <c r="G39" s="150"/>
      <c r="H39" s="150"/>
      <c r="I39" s="150"/>
      <c r="J39" s="150"/>
      <c r="K39" s="150"/>
      <c r="L39" s="150"/>
      <c r="M39" s="150"/>
      <c r="N39" s="150"/>
      <c r="O39" s="1"/>
      <c r="P39" s="1"/>
      <c r="Q39" s="1"/>
    </row>
    <row r="40" spans="1:17" ht="12.75" customHeight="1" x14ac:dyDescent="0.2">
      <c r="A40" s="1"/>
      <c r="B40" s="1"/>
      <c r="C40" s="150"/>
      <c r="D40" s="145"/>
      <c r="E40" s="145"/>
      <c r="F40" s="145"/>
      <c r="G40" s="145"/>
      <c r="H40" s="145"/>
      <c r="I40" s="145"/>
      <c r="J40" s="145"/>
      <c r="K40" s="145"/>
      <c r="L40" s="150"/>
      <c r="M40" s="150"/>
      <c r="N40" s="150"/>
      <c r="O40" s="1"/>
      <c r="P40" s="1"/>
      <c r="Q40" s="1"/>
    </row>
    <row r="41" spans="1:17" ht="12.75" customHeight="1" x14ac:dyDescent="0.2">
      <c r="A41" s="1"/>
      <c r="B41" s="1"/>
      <c r="C41" s="150"/>
      <c r="D41" s="145"/>
      <c r="E41" s="145"/>
      <c r="F41" s="145"/>
      <c r="G41" s="83"/>
      <c r="H41" s="145"/>
      <c r="I41" s="145"/>
      <c r="J41" s="145"/>
      <c r="K41" s="145"/>
      <c r="L41" s="150"/>
      <c r="M41" s="150"/>
      <c r="N41" s="150"/>
      <c r="O41" s="1"/>
      <c r="P41" s="1"/>
      <c r="Q41" s="1"/>
    </row>
    <row r="42" spans="1:17" ht="12.75" customHeight="1" x14ac:dyDescent="0.2">
      <c r="A42" s="1"/>
      <c r="B42" s="1"/>
      <c r="C42" s="150"/>
      <c r="D42" s="145"/>
      <c r="E42" s="145"/>
      <c r="F42" s="145"/>
      <c r="G42" s="84">
        <f>SUM(I5:I37)</f>
        <v>27</v>
      </c>
      <c r="H42" s="145"/>
      <c r="I42" s="145"/>
      <c r="J42" s="145"/>
      <c r="K42" s="145"/>
      <c r="L42" s="150"/>
      <c r="M42" s="150"/>
      <c r="N42" s="150"/>
      <c r="O42" s="1"/>
      <c r="P42" s="1"/>
      <c r="Q42" s="1"/>
    </row>
    <row r="43" spans="1:17" x14ac:dyDescent="0.2">
      <c r="A43" s="1"/>
      <c r="B43" s="1"/>
      <c r="C43" s="150"/>
      <c r="D43" s="145"/>
      <c r="E43" s="145"/>
      <c r="F43" s="145"/>
      <c r="G43" s="82"/>
      <c r="H43" s="145"/>
      <c r="I43" s="145"/>
      <c r="J43" s="145"/>
      <c r="K43" s="145"/>
      <c r="L43" s="145"/>
      <c r="M43" s="145"/>
      <c r="N43" s="1"/>
      <c r="O43" s="1"/>
      <c r="P43" s="1"/>
      <c r="Q43" s="1"/>
    </row>
    <row r="44" spans="1:17" ht="30" customHeight="1" x14ac:dyDescent="0.2">
      <c r="A44" s="1"/>
      <c r="B44" s="1"/>
      <c r="C44" s="150"/>
      <c r="D44" s="145"/>
      <c r="E44" s="145"/>
      <c r="F44" s="145"/>
      <c r="G44" s="145"/>
      <c r="H44" s="145"/>
      <c r="I44" s="145"/>
      <c r="J44" s="145"/>
      <c r="K44" s="145"/>
      <c r="L44" s="145"/>
      <c r="M44" s="145"/>
      <c r="N44" s="1"/>
      <c r="O44" s="1"/>
      <c r="P44" s="1"/>
      <c r="Q44" s="1"/>
    </row>
    <row r="45" spans="1:17" x14ac:dyDescent="0.2">
      <c r="A45" s="1"/>
      <c r="B45" s="1"/>
      <c r="C45" s="150"/>
      <c r="D45" s="145"/>
      <c r="E45" s="145"/>
      <c r="F45" s="145"/>
      <c r="G45" s="145"/>
      <c r="H45" s="145"/>
      <c r="I45" s="145"/>
      <c r="J45" s="145"/>
      <c r="K45" s="145"/>
      <c r="L45" s="145"/>
      <c r="M45" s="145"/>
      <c r="N45" s="1"/>
      <c r="O45" s="1"/>
      <c r="P45" s="1"/>
      <c r="Q45" s="1"/>
    </row>
    <row r="46" spans="1:17" x14ac:dyDescent="0.2">
      <c r="A46" s="1"/>
      <c r="B46" s="1"/>
      <c r="C46" s="150"/>
      <c r="D46" s="145"/>
      <c r="E46" s="145"/>
      <c r="F46" s="145"/>
      <c r="G46" s="145"/>
      <c r="H46" s="145"/>
      <c r="I46" s="145"/>
      <c r="J46" s="145"/>
      <c r="K46" s="145"/>
      <c r="L46" s="145"/>
      <c r="M46" s="145"/>
      <c r="N46" s="1"/>
      <c r="O46" s="1"/>
      <c r="P46" s="1"/>
      <c r="Q46" s="1"/>
    </row>
    <row r="47" spans="1:17" x14ac:dyDescent="0.2">
      <c r="A47" s="1"/>
      <c r="B47" s="1"/>
      <c r="C47" s="150"/>
      <c r="D47" s="145"/>
      <c r="E47" s="145"/>
      <c r="F47" s="145"/>
      <c r="G47" s="145"/>
      <c r="H47" s="145"/>
      <c r="I47" s="145"/>
      <c r="J47" s="145"/>
      <c r="K47" s="145"/>
      <c r="L47" s="145"/>
      <c r="M47" s="145"/>
      <c r="N47" s="1"/>
      <c r="O47" s="1"/>
      <c r="P47" s="1"/>
      <c r="Q47" s="1"/>
    </row>
    <row r="48" spans="1:17" x14ac:dyDescent="0.2">
      <c r="A48" s="1"/>
      <c r="B48" s="1"/>
      <c r="C48" s="150"/>
      <c r="D48" s="145"/>
      <c r="E48" s="145"/>
      <c r="F48" s="145"/>
      <c r="G48" s="145"/>
      <c r="H48" s="145"/>
      <c r="I48" s="145"/>
      <c r="J48" s="145"/>
      <c r="K48" s="145"/>
      <c r="L48" s="145"/>
      <c r="M48" s="145"/>
      <c r="N48" s="1"/>
      <c r="O48" s="1"/>
      <c r="P48" s="1"/>
      <c r="Q48" s="1"/>
    </row>
  </sheetData>
  <mergeCells count="39">
    <mergeCell ref="O26:O27"/>
    <mergeCell ref="D38:E38"/>
    <mergeCell ref="G38:K38"/>
    <mergeCell ref="C29:C31"/>
    <mergeCell ref="E29:E31"/>
    <mergeCell ref="L29:L31"/>
    <mergeCell ref="C32:C34"/>
    <mergeCell ref="E32:E34"/>
    <mergeCell ref="L32:L34"/>
    <mergeCell ref="A28:A37"/>
    <mergeCell ref="B28:B34"/>
    <mergeCell ref="J28:J37"/>
    <mergeCell ref="K28:K37"/>
    <mergeCell ref="N28:N34"/>
    <mergeCell ref="A19:A27"/>
    <mergeCell ref="B19:B20"/>
    <mergeCell ref="J19:J27"/>
    <mergeCell ref="K19:K27"/>
    <mergeCell ref="B24:B27"/>
    <mergeCell ref="A11:A15"/>
    <mergeCell ref="J11:J15"/>
    <mergeCell ref="K11:K15"/>
    <mergeCell ref="B13:B14"/>
    <mergeCell ref="A16:A18"/>
    <mergeCell ref="J16:J18"/>
    <mergeCell ref="K16:K18"/>
    <mergeCell ref="A1:O2"/>
    <mergeCell ref="B3:C3"/>
    <mergeCell ref="D4:E4"/>
    <mergeCell ref="A5:A10"/>
    <mergeCell ref="B5:B7"/>
    <mergeCell ref="C5:C7"/>
    <mergeCell ref="E5:E7"/>
    <mergeCell ref="J5:J10"/>
    <mergeCell ref="K5:K10"/>
    <mergeCell ref="L5:L7"/>
    <mergeCell ref="O8:O9"/>
    <mergeCell ref="N5:N7"/>
    <mergeCell ref="B8:B9"/>
  </mergeCells>
  <conditionalFormatting sqref="K5:K7 K11 K16 K19 K28">
    <cfRule type="containsText" dxfId="96" priority="8" operator="containsText" text="High Risk">
      <formula>NOT(ISERROR(SEARCH("High Risk",K5)))</formula>
    </cfRule>
    <cfRule type="containsText" dxfId="95" priority="9" operator="containsText" text="Medium Risk">
      <formula>NOT(ISERROR(SEARCH("Medium Risk",K5)))</formula>
    </cfRule>
    <cfRule type="containsText" dxfId="94" priority="10" operator="containsText" text="Low Risk">
      <formula>NOT(ISERROR(SEARCH("Low Risk",K5)))</formula>
    </cfRule>
  </conditionalFormatting>
  <conditionalFormatting sqref="O5:O8 O10">
    <cfRule type="expression" dxfId="93" priority="6">
      <formula>"K5=""Low Risk"""</formula>
    </cfRule>
  </conditionalFormatting>
  <conditionalFormatting sqref="O11">
    <cfRule type="expression" dxfId="92" priority="5">
      <formula>K11="Low Risk"</formula>
    </cfRule>
  </conditionalFormatting>
  <conditionalFormatting sqref="O16">
    <cfRule type="expression" dxfId="91" priority="3">
      <formula>K16="Low Risk"</formula>
    </cfRule>
  </conditionalFormatting>
  <conditionalFormatting sqref="O19:O26">
    <cfRule type="expression" dxfId="90" priority="2">
      <formula>K19="Low Risk"</formula>
    </cfRule>
  </conditionalFormatting>
  <conditionalFormatting sqref="O28">
    <cfRule type="expression" dxfId="89" priority="7">
      <formula>K28="Low Risk"</formula>
    </cfRule>
  </conditionalFormatting>
  <conditionalFormatting sqref="O36">
    <cfRule type="expression" dxfId="88" priority="1">
      <formula>K28="Low Risk"</formula>
    </cfRule>
  </conditionalFormatting>
  <dataValidations count="5">
    <dataValidation type="list" allowBlank="1" showInputMessage="1" showErrorMessage="1" sqref="G36" xr:uid="{76945AF2-6A62-47BD-B8AD-E4255DFFC97A}">
      <formula1>$P$5:$P$6</formula1>
    </dataValidation>
    <dataValidation type="list" allowBlank="1" showInputMessage="1" showErrorMessage="1" sqref="G19:G21 G14 G16 G5:G9 G29:G34" xr:uid="{4590896E-018C-423A-8B67-E2EA9ECD03F7}">
      <formula1>$P$10:$P$11</formula1>
    </dataValidation>
    <dataValidation type="list" allowBlank="1" showInputMessage="1" showErrorMessage="1" sqref="G15 G35 G17:G18 G28 G11:G13" xr:uid="{AFA37594-3718-4A07-BD3F-2FAB0054B58A}">
      <formula1>$P$5:$P$8</formula1>
    </dataValidation>
    <dataValidation type="list" allowBlank="1" showInputMessage="1" showErrorMessage="1" sqref="G22:G26 G37" xr:uid="{754140CC-4C6D-4C30-B4BC-878ECAF5AE03}">
      <formula1>$P$10:$P$12</formula1>
    </dataValidation>
    <dataValidation type="list" allowBlank="1" showInputMessage="1" showErrorMessage="1" sqref="G27 G10" xr:uid="{827BDBBC-0F3C-417F-BC34-BB038E058A2E}">
      <formula1>$P$5:$P$7</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FE168-6DA3-41A8-ABFC-7CF72E7ABCBE}">
  <sheetPr>
    <tabColor theme="5"/>
  </sheetPr>
  <dimension ref="A1:N70"/>
  <sheetViews>
    <sheetView topLeftCell="A52" zoomScale="55" zoomScaleNormal="55" workbookViewId="0">
      <selection activeCell="G62" sqref="G62:H67"/>
    </sheetView>
  </sheetViews>
  <sheetFormatPr defaultRowHeight="15" x14ac:dyDescent="0.25"/>
  <cols>
    <col min="2" max="2" width="25.28515625" customWidth="1"/>
    <col min="3" max="3" width="44.5703125" customWidth="1"/>
    <col min="4" max="4" width="12.28515625" hidden="1" customWidth="1"/>
    <col min="5" max="5" width="35.85546875" customWidth="1"/>
    <col min="6" max="6" width="9.140625" hidden="1" customWidth="1"/>
    <col min="7" max="7" width="44.140625" customWidth="1"/>
    <col min="8" max="9" width="40.28515625" customWidth="1"/>
    <col min="10" max="10" width="28" hidden="1" customWidth="1"/>
    <col min="11" max="11" width="27.7109375" customWidth="1"/>
  </cols>
  <sheetData>
    <row r="1" spans="1:12" ht="71.25" customHeight="1" x14ac:dyDescent="0.25">
      <c r="A1" s="630" t="s">
        <v>518</v>
      </c>
      <c r="B1" s="630"/>
      <c r="C1" s="630"/>
      <c r="D1" s="630"/>
      <c r="E1" s="630"/>
      <c r="F1" s="630"/>
      <c r="G1" s="630"/>
      <c r="H1" s="630"/>
      <c r="I1" s="630"/>
      <c r="J1" s="630"/>
      <c r="K1" s="630"/>
      <c r="L1" s="630"/>
    </row>
    <row r="2" spans="1:12" ht="49.5" customHeight="1" x14ac:dyDescent="0.25">
      <c r="A2" s="246"/>
      <c r="B2" s="246"/>
      <c r="C2" s="247" t="s">
        <v>244</v>
      </c>
      <c r="D2" s="248"/>
      <c r="E2" s="249">
        <f>Overview!D16</f>
        <v>0</v>
      </c>
      <c r="F2" s="382"/>
      <c r="G2" s="249">
        <f>Overview!D17</f>
        <v>0</v>
      </c>
      <c r="H2" s="246"/>
      <c r="I2" s="246"/>
      <c r="J2" s="246"/>
      <c r="K2" s="246"/>
      <c r="L2" s="246"/>
    </row>
    <row r="3" spans="1:12" ht="15.75" x14ac:dyDescent="0.25">
      <c r="A3" s="412"/>
      <c r="B3" s="412"/>
      <c r="C3" s="412"/>
      <c r="D3" s="412"/>
      <c r="E3" s="412"/>
      <c r="F3" s="412"/>
      <c r="G3" s="412"/>
      <c r="H3" s="412"/>
      <c r="I3" s="412"/>
      <c r="J3" s="412"/>
      <c r="K3" s="412"/>
      <c r="L3" s="412"/>
    </row>
    <row r="4" spans="1:12" ht="15.75" x14ac:dyDescent="0.25">
      <c r="A4" s="412"/>
      <c r="B4" s="412"/>
      <c r="C4" s="412"/>
      <c r="D4" s="412"/>
      <c r="E4" s="250" t="s">
        <v>15</v>
      </c>
      <c r="F4" s="413"/>
      <c r="G4" s="629" t="s">
        <v>489</v>
      </c>
      <c r="H4" s="629"/>
      <c r="I4" s="629"/>
      <c r="J4" s="412"/>
      <c r="K4" s="412"/>
      <c r="L4" s="412"/>
    </row>
    <row r="5" spans="1:12" ht="15.75" x14ac:dyDescent="0.25">
      <c r="A5" s="412"/>
      <c r="B5" s="412"/>
      <c r="C5" s="414" t="s">
        <v>467</v>
      </c>
      <c r="D5" s="412"/>
      <c r="E5" s="412"/>
      <c r="F5" s="412"/>
      <c r="G5" s="412"/>
      <c r="H5" s="412"/>
      <c r="I5" s="412"/>
      <c r="J5" s="412"/>
      <c r="K5" s="412"/>
      <c r="L5" s="412"/>
    </row>
    <row r="6" spans="1:12" ht="15.75" x14ac:dyDescent="0.25">
      <c r="A6" s="412"/>
      <c r="B6" s="412"/>
      <c r="C6" s="421" t="s">
        <v>529</v>
      </c>
      <c r="D6" s="412"/>
      <c r="E6" s="389">
        <f>Overview!$F$27</f>
        <v>0</v>
      </c>
      <c r="F6" s="413"/>
      <c r="G6" s="628">
        <f>Overview!$G$27</f>
        <v>0</v>
      </c>
      <c r="H6" s="628"/>
      <c r="I6" s="628"/>
      <c r="J6" s="412"/>
      <c r="K6" s="412"/>
      <c r="L6" s="412"/>
    </row>
    <row r="7" spans="1:12" ht="15.75" x14ac:dyDescent="0.25">
      <c r="A7" s="412"/>
      <c r="B7" s="412"/>
      <c r="C7" s="421" t="s">
        <v>528</v>
      </c>
      <c r="D7" s="412"/>
      <c r="E7" s="389">
        <f>Overview!$F$29</f>
        <v>0</v>
      </c>
      <c r="F7" s="413"/>
      <c r="G7" s="628">
        <f>Overview!$G$29</f>
        <v>0</v>
      </c>
      <c r="H7" s="628"/>
      <c r="I7" s="628"/>
      <c r="J7" s="412"/>
      <c r="K7" s="412"/>
      <c r="L7" s="412"/>
    </row>
    <row r="8" spans="1:12" ht="27.6" customHeight="1" x14ac:dyDescent="0.25">
      <c r="A8" s="412"/>
      <c r="B8" s="412"/>
      <c r="C8" s="416" t="s">
        <v>468</v>
      </c>
      <c r="D8" s="412"/>
      <c r="E8" s="389">
        <f>Overview!$F$32</f>
        <v>0</v>
      </c>
      <c r="F8" s="413"/>
      <c r="G8" s="628">
        <f>Overview!$G$32</f>
        <v>0</v>
      </c>
      <c r="H8" s="628"/>
      <c r="I8" s="628"/>
      <c r="J8" s="412"/>
      <c r="K8" s="412"/>
      <c r="L8" s="412"/>
    </row>
    <row r="9" spans="1:12" ht="15.95" customHeight="1" x14ac:dyDescent="0.25">
      <c r="A9" s="412"/>
      <c r="B9" s="412"/>
      <c r="C9" s="414" t="s">
        <v>240</v>
      </c>
      <c r="D9" s="412"/>
      <c r="E9" s="389">
        <f>Overview!$F$35</f>
        <v>0</v>
      </c>
      <c r="F9" s="413"/>
      <c r="G9" s="628">
        <f>Overview!$G$35</f>
        <v>0</v>
      </c>
      <c r="H9" s="628"/>
      <c r="I9" s="628"/>
      <c r="J9" s="412"/>
      <c r="K9" s="412"/>
      <c r="L9" s="412"/>
    </row>
    <row r="10" spans="1:12" ht="35.450000000000003" customHeight="1" x14ac:dyDescent="0.25">
      <c r="A10" s="412"/>
      <c r="B10" s="412"/>
      <c r="C10" s="416" t="s">
        <v>466</v>
      </c>
      <c r="D10" s="412"/>
      <c r="E10" s="389">
        <f>Overview!$F$38</f>
        <v>0</v>
      </c>
      <c r="F10" s="413"/>
      <c r="G10" s="628">
        <f>Overview!$G$38</f>
        <v>0</v>
      </c>
      <c r="H10" s="628"/>
      <c r="I10" s="628"/>
      <c r="J10" s="412"/>
      <c r="K10" s="412"/>
      <c r="L10" s="412"/>
    </row>
    <row r="11" spans="1:12" ht="15.75" x14ac:dyDescent="0.25">
      <c r="A11" s="412"/>
      <c r="B11" s="412"/>
      <c r="C11" s="414" t="s">
        <v>241</v>
      </c>
      <c r="D11" s="412"/>
      <c r="E11" s="389">
        <f>Overview!$F$41</f>
        <v>0</v>
      </c>
      <c r="F11" s="413"/>
      <c r="G11" s="628">
        <f>Overview!$G$41</f>
        <v>0</v>
      </c>
      <c r="H11" s="628"/>
      <c r="I11" s="628"/>
      <c r="J11" s="412"/>
      <c r="K11" s="412"/>
      <c r="L11" s="412"/>
    </row>
    <row r="12" spans="1:12" ht="33.950000000000003" customHeight="1" x14ac:dyDescent="0.25">
      <c r="A12" s="412"/>
      <c r="B12" s="412"/>
      <c r="C12" s="412"/>
      <c r="D12" s="412"/>
      <c r="E12" s="412"/>
      <c r="F12" s="412"/>
      <c r="G12" s="412"/>
      <c r="H12" s="412"/>
      <c r="I12" s="412"/>
      <c r="J12" s="412"/>
      <c r="K12" s="412"/>
      <c r="L12" s="412"/>
    </row>
    <row r="13" spans="1:12" ht="47.1" customHeight="1" x14ac:dyDescent="0.25">
      <c r="A13" s="412"/>
      <c r="B13" s="622" t="s">
        <v>277</v>
      </c>
      <c r="C13" s="622" t="s">
        <v>471</v>
      </c>
      <c r="D13" s="622" t="s">
        <v>165</v>
      </c>
      <c r="E13" s="625" t="s">
        <v>442</v>
      </c>
      <c r="F13" s="626"/>
      <c r="G13" s="626"/>
      <c r="H13" s="626"/>
      <c r="I13" s="626"/>
      <c r="J13" s="626"/>
      <c r="K13" s="627"/>
      <c r="L13" s="412"/>
    </row>
    <row r="14" spans="1:12" ht="32.1" customHeight="1" x14ac:dyDescent="0.25">
      <c r="A14" s="412"/>
      <c r="B14" s="623"/>
      <c r="C14" s="623"/>
      <c r="D14" s="623"/>
      <c r="E14" s="622" t="s">
        <v>395</v>
      </c>
      <c r="F14" s="622" t="s">
        <v>470</v>
      </c>
      <c r="G14" s="622" t="s">
        <v>456</v>
      </c>
      <c r="H14" s="622" t="s">
        <v>457</v>
      </c>
      <c r="I14" s="622" t="s">
        <v>498</v>
      </c>
      <c r="J14" s="622" t="s">
        <v>472</v>
      </c>
      <c r="K14" s="622" t="s">
        <v>469</v>
      </c>
      <c r="L14" s="412"/>
    </row>
    <row r="15" spans="1:12" ht="33.6" customHeight="1" x14ac:dyDescent="0.25">
      <c r="A15" s="412"/>
      <c r="B15" s="624"/>
      <c r="C15" s="624"/>
      <c r="D15" s="624"/>
      <c r="E15" s="624"/>
      <c r="F15" s="624"/>
      <c r="G15" s="624"/>
      <c r="H15" s="624"/>
      <c r="I15" s="624"/>
      <c r="J15" s="624"/>
      <c r="K15" s="624"/>
      <c r="L15" s="412"/>
    </row>
    <row r="16" spans="1:12" ht="64.5" customHeight="1" x14ac:dyDescent="0.25">
      <c r="A16" s="412"/>
      <c r="B16" s="616" t="s">
        <v>56</v>
      </c>
      <c r="C16" s="251" t="str">
        <f>Matrix!C4</f>
        <v>Greenhouse gas (GHG) emissions from biomass production, transportation and storage (upstream)</v>
      </c>
      <c r="D16" s="417" t="s">
        <v>168</v>
      </c>
      <c r="E16" s="409" t="str">
        <f>IF($E$2=0,"No answer given",VLOOKUP(C16,Matrix!$D$28:$M$44,MATCH('1 - Pre-screening Assessment'!$E$2,Matrix!$E$27:$M$27,0)+1,0))</f>
        <v>No answer given</v>
      </c>
      <c r="F16" s="409" t="e" cm="1">
        <f t="array" ref="F16">_xlfn.SWITCH(E16,"Low",1,"Medium",2,"Medium to High",2,"High",3)</f>
        <v>#N/A</v>
      </c>
      <c r="G16" s="409"/>
      <c r="H16" s="409"/>
      <c r="I16" s="409"/>
      <c r="J16" s="409" t="e">
        <f>IF(F16-(VLOOKUP(G16,Lists!$C$43:$D$82,2,0)+VLOOKUP(H16,Lists!$C$43:$D$82,2,0)+VLOOKUP(I16,Lists!$C$43:$D$82,2,0))&gt;1,F16-(VLOOKUP(G16,Lists!$C$43:$D$82,2,0)+VLOOKUP(H16,Lists!$C$43:$D$82,2,0)+VLOOKUP(I16,Lists!$C$43:$D$82,2,0)),1)</f>
        <v>#N/A</v>
      </c>
      <c r="K16" s="409" t="str">
        <f>IF(E16="No answer given",E16,CHOOSE(J16,"Low","Medium","High"))</f>
        <v>No answer given</v>
      </c>
      <c r="L16" s="412"/>
    </row>
    <row r="17" spans="1:14" ht="57.6" customHeight="1" x14ac:dyDescent="0.25">
      <c r="A17" s="412"/>
      <c r="B17" s="616"/>
      <c r="C17" s="251" t="str">
        <f>Matrix!C5</f>
        <v>GHG emissions from biomass utilization (combustion)</v>
      </c>
      <c r="D17" s="417" t="s">
        <v>173</v>
      </c>
      <c r="E17" s="409" t="str">
        <f>IF($E$2=0,"No answer given",VLOOKUP(C17,Matrix!$D$28:$M$44,MATCH('1 - Pre-screening Assessment'!$E$2,Matrix!$E$27:$M$27,0)+1,0))</f>
        <v>No answer given</v>
      </c>
      <c r="F17" s="409" t="e" cm="1">
        <f t="array" ref="F17">_xlfn.SWITCH(E17,"Low",1,"Medium",2,"Medium to High",2,"High",3)</f>
        <v>#N/A</v>
      </c>
      <c r="G17" s="409"/>
      <c r="H17" s="409"/>
      <c r="I17" s="409"/>
      <c r="J17" s="409" t="e">
        <f>IF(F17-(VLOOKUP(G17,Lists!$C$43:$D$82,2,0)+VLOOKUP(H17,Lists!$C$43:$D$82,2,0)+VLOOKUP(I17,Lists!$C$43:$D$82,2,0))&gt;1,F17-(VLOOKUP(G17,Lists!$C$43:$D$82,2,0)+VLOOKUP(H17,Lists!$C$43:$D$82,2,0)+VLOOKUP(I17,Lists!$C$43:$D$82,2,0)),1)</f>
        <v>#N/A</v>
      </c>
      <c r="K17" s="409" t="str">
        <f t="shared" ref="K17:K32" si="0">IF(E17="No answer given",E17,CHOOSE(J17,"Low","Medium","High"))</f>
        <v>No answer given</v>
      </c>
      <c r="L17" s="412"/>
    </row>
    <row r="18" spans="1:14" ht="30" x14ac:dyDescent="0.25">
      <c r="A18" s="412"/>
      <c r="B18" s="616"/>
      <c r="C18" s="251" t="str">
        <f>Matrix!C6</f>
        <v>Impact on carbon sinks (such as deforestation)</v>
      </c>
      <c r="D18" s="417" t="s">
        <v>177</v>
      </c>
      <c r="E18" s="409" t="str">
        <f>IF($E$2=0,"No answer given",VLOOKUP(C18,Matrix!$D$28:$M$44,MATCH('1 - Pre-screening Assessment'!$E$2,Matrix!$E$27:$M$27,0)+1,0))</f>
        <v>No answer given</v>
      </c>
      <c r="F18" s="409" t="e" cm="1">
        <f t="array" ref="F18">_xlfn.SWITCH(E18,"Low",1,"Medium",2,"Medium to High",2,"High",3)</f>
        <v>#N/A</v>
      </c>
      <c r="G18" s="409"/>
      <c r="H18" s="409"/>
      <c r="I18" s="409"/>
      <c r="J18" s="409" t="e">
        <f>IF(F18-(VLOOKUP(G18,Lists!$C$43:$D$82,2,0)+VLOOKUP(H18,Lists!$C$43:$D$82,2,0)+VLOOKUP(I18,Lists!$C$43:$D$82,2,0))&gt;1,F18-(VLOOKUP(G18,Lists!$C$43:$D$82,2,0)+VLOOKUP(H18,Lists!$C$43:$D$82,2,0)+VLOOKUP(I18,Lists!$C$43:$D$82,2,0)),1)</f>
        <v>#N/A</v>
      </c>
      <c r="K18" s="409" t="str">
        <f t="shared" si="0"/>
        <v>No answer given</v>
      </c>
      <c r="L18" s="412"/>
    </row>
    <row r="19" spans="1:14" ht="78" customHeight="1" x14ac:dyDescent="0.25">
      <c r="A19" s="412"/>
      <c r="B19" s="617" t="s">
        <v>254</v>
      </c>
      <c r="C19" s="252" t="str">
        <f>Matrix!C7</f>
        <v>Loss of natural habitats causing loss of biodiversity (such as deforestation) from land-use change (LUC) and indirect land-use change (ILUC)</v>
      </c>
      <c r="D19" s="417" t="s">
        <v>180</v>
      </c>
      <c r="E19" s="409" t="str">
        <f>IF($E$2=0,"No answer given",VLOOKUP(C19,Matrix!$D$28:$M$44,MATCH('1 - Pre-screening Assessment'!$E$2,Matrix!$E$27:$M$27,0)+1,0))</f>
        <v>No answer given</v>
      </c>
      <c r="F19" s="409" t="e" cm="1">
        <f t="array" ref="F19">_xlfn.SWITCH(E19,"Low",1,"Medium",2,"Medium to High",2,"High",3)</f>
        <v>#N/A</v>
      </c>
      <c r="G19" s="409"/>
      <c r="H19" s="409"/>
      <c r="I19" s="409"/>
      <c r="J19" s="409" t="e">
        <f>IF(F19-(VLOOKUP(G19,Lists!$C$43:$D$82,2,0)+VLOOKUP(H19,Lists!$C$43:$D$82,2,0)+VLOOKUP(I19,Lists!$C$43:$D$82,2,0))&gt;1,F19-(VLOOKUP(G19,Lists!$C$43:$D$82,2,0)+VLOOKUP(H19,Lists!$C$43:$D$82,2,0)+VLOOKUP(I19,Lists!$C$43:$D$82,2,0)),1)</f>
        <v>#N/A</v>
      </c>
      <c r="K19" s="409" t="str">
        <f t="shared" si="0"/>
        <v>No answer given</v>
      </c>
      <c r="L19" s="412"/>
    </row>
    <row r="20" spans="1:14" ht="30" x14ac:dyDescent="0.25">
      <c r="A20" s="412"/>
      <c r="B20" s="617"/>
      <c r="C20" s="252" t="str">
        <f>Matrix!C8</f>
        <v>Loss of biodiversity due to increased use of chemicals (pesticides, herbicides, etc.)</v>
      </c>
      <c r="D20" s="417" t="s">
        <v>183</v>
      </c>
      <c r="E20" s="409" t="str">
        <f>IF($E$2=0,"No answer given",VLOOKUP(C20,Matrix!$D$28:$M$44,MATCH('1 - Pre-screening Assessment'!$E$2,Matrix!$E$27:$M$27,0)+1,0))</f>
        <v>No answer given</v>
      </c>
      <c r="F20" s="409" t="e" cm="1">
        <f t="array" ref="F20">_xlfn.SWITCH(E20,"Low",1,"Medium",2,"Medium to High",2,"High",3)</f>
        <v>#N/A</v>
      </c>
      <c r="G20" s="409"/>
      <c r="H20" s="409"/>
      <c r="I20" s="409"/>
      <c r="J20" s="409" t="e">
        <f>IF(F20-(VLOOKUP(G20,Lists!$C$43:$D$82,2,0)+VLOOKUP(H20,Lists!$C$43:$D$82,2,0)+VLOOKUP(I20,Lists!$C$43:$D$82,2,0))&gt;1,F20-(VLOOKUP(G20,Lists!$C$43:$D$82,2,0)+VLOOKUP(H20,Lists!$C$43:$D$82,2,0)+VLOOKUP(I20,Lists!$C$43:$D$82,2,0)),1)</f>
        <v>#N/A</v>
      </c>
      <c r="K20" s="409" t="str">
        <f t="shared" si="0"/>
        <v>No answer given</v>
      </c>
      <c r="L20" s="412"/>
    </row>
    <row r="21" spans="1:14" ht="81.75" customHeight="1" x14ac:dyDescent="0.25">
      <c r="A21" s="412"/>
      <c r="B21" s="617"/>
      <c r="C21" s="252" t="str">
        <f>Matrix!C9</f>
        <v>Water consumption for biomass production</v>
      </c>
      <c r="D21" s="417" t="s">
        <v>190</v>
      </c>
      <c r="E21" s="409" t="str">
        <f>IF($E$2=0,"No answer given",VLOOKUP(C21,Matrix!$D$28:$M$44,MATCH('1 - Pre-screening Assessment'!$E$2,Matrix!$E$27:$M$27,0)+1,0))</f>
        <v>No answer given</v>
      </c>
      <c r="F21" s="409" t="e" cm="1">
        <f t="array" ref="F21">_xlfn.SWITCH(E21,"Low",1,"Medium",2,"Medium to High",2,"High",3)</f>
        <v>#N/A</v>
      </c>
      <c r="G21" s="409"/>
      <c r="H21" s="409"/>
      <c r="I21" s="409"/>
      <c r="J21" s="409" t="e">
        <f>IF(F21-(VLOOKUP(G21,Lists!$C$43:$D$82,2,0)+VLOOKUP(H21,Lists!$C$43:$D$82,2,0)+VLOOKUP(I21,Lists!$C$43:$D$82,2,0))&gt;1,F21-(VLOOKUP(G21,Lists!$C$43:$D$82,2,0)+VLOOKUP(H21,Lists!$C$43:$D$82,2,0)+VLOOKUP(I21,Lists!$C$43:$D$82,2,0)),1)</f>
        <v>#N/A</v>
      </c>
      <c r="K21" s="409" t="str">
        <f t="shared" si="0"/>
        <v>No answer given</v>
      </c>
      <c r="L21" s="412"/>
    </row>
    <row r="22" spans="1:14" ht="71.25" customHeight="1" x14ac:dyDescent="0.25">
      <c r="A22" s="412"/>
      <c r="B22" s="617"/>
      <c r="C22" s="252" t="str">
        <f>Matrix!C10</f>
        <v>Water &amp; soil contamination</v>
      </c>
      <c r="D22" s="417" t="s">
        <v>196</v>
      </c>
      <c r="E22" s="409" t="str">
        <f>IF($E$2=0,"No answer given",VLOOKUP(C22,Matrix!$D$28:$M$44,MATCH('1 - Pre-screening Assessment'!$E$2,Matrix!$E$27:$M$27,0)+1,0))</f>
        <v>No answer given</v>
      </c>
      <c r="F22" s="409" t="e" cm="1">
        <f t="array" ref="F22">_xlfn.SWITCH(E22,"Low",1,"Medium",2,"Medium to High",2,"High",3)</f>
        <v>#N/A</v>
      </c>
      <c r="G22" s="409"/>
      <c r="H22" s="409"/>
      <c r="I22" s="409"/>
      <c r="J22" s="409" t="e">
        <f>IF(F22-(VLOOKUP(G22,Lists!$C$43:$D$82,2,0)+VLOOKUP(H22,Lists!$C$43:$D$82,2,0)+VLOOKUP(I22,Lists!$C$43:$D$82,2,0))&gt;1,F22-(VLOOKUP(G22,Lists!$C$43:$D$82,2,0)+VLOOKUP(H22,Lists!$C$43:$D$82,2,0)+VLOOKUP(I22,Lists!$C$43:$D$82,2,0)),1)</f>
        <v>#N/A</v>
      </c>
      <c r="K22" s="409" t="str">
        <f t="shared" si="0"/>
        <v>No answer given</v>
      </c>
      <c r="L22" s="412"/>
    </row>
    <row r="23" spans="1:14" ht="30" x14ac:dyDescent="0.25">
      <c r="A23" s="412"/>
      <c r="B23" s="618" t="s">
        <v>256</v>
      </c>
      <c r="C23" s="253" t="str">
        <f>Matrix!C11</f>
        <v>Open field burning of agricultural waste and wildfires</v>
      </c>
      <c r="D23" s="417" t="s">
        <v>203</v>
      </c>
      <c r="E23" s="409" t="str">
        <f>IF($E$2=0,"No answer given",VLOOKUP(C23,Matrix!$D$28:$M$44,MATCH('1 - Pre-screening Assessment'!$E$2,Matrix!$E$27:$M$27,0)+1,0))</f>
        <v>No answer given</v>
      </c>
      <c r="F23" s="409" t="e" cm="1">
        <f t="array" ref="F23">_xlfn.SWITCH(E23,"Low",1,"Medium",2,"Medium to High",2,"High",3)</f>
        <v>#N/A</v>
      </c>
      <c r="G23" s="409"/>
      <c r="H23" s="409"/>
      <c r="I23" s="409"/>
      <c r="J23" s="409" t="e">
        <f>IF(F23-(VLOOKUP(G23,Lists!$C$43:$D$82,2,0)+VLOOKUP(H23,Lists!$C$43:$D$82,2,0)+VLOOKUP(I23,Lists!$C$43:$D$82,2,0))&gt;1,F23-(VLOOKUP(G23,Lists!$C$43:$D$82,2,0)+VLOOKUP(H23,Lists!$C$43:$D$82,2,0)+VLOOKUP(I23,Lists!$C$43:$D$82,2,0)),1)</f>
        <v>#N/A</v>
      </c>
      <c r="K23" s="409" t="str">
        <f t="shared" si="0"/>
        <v>No answer given</v>
      </c>
      <c r="L23" s="412"/>
    </row>
    <row r="24" spans="1:14" ht="80.25" customHeight="1" x14ac:dyDescent="0.25">
      <c r="A24" s="412"/>
      <c r="B24" s="618"/>
      <c r="C24" s="253" t="str">
        <f>Matrix!C12</f>
        <v>Air contaminants emissions during production processes</v>
      </c>
      <c r="D24" s="417" t="s">
        <v>205</v>
      </c>
      <c r="E24" s="409" t="str">
        <f>IF($E$2=0,"No answer given",VLOOKUP(C24,Matrix!$D$28:$M$44,MATCH('1 - Pre-screening Assessment'!$E$2,Matrix!$E$27:$M$27,0)+1,0))</f>
        <v>No answer given</v>
      </c>
      <c r="F24" s="409" t="e" cm="1">
        <f t="array" ref="F24">_xlfn.SWITCH(E24,"Low",1,"Medium",2,"Medium to High",2,"High",3)</f>
        <v>#N/A</v>
      </c>
      <c r="G24" s="409"/>
      <c r="H24" s="409"/>
      <c r="I24" s="409"/>
      <c r="J24" s="409" t="e">
        <f>IF(F24-(VLOOKUP(G24,Lists!$C$43:$D$82,2,0)+VLOOKUP(H24,Lists!$C$43:$D$82,2,0)+VLOOKUP(I24,Lists!$C$43:$D$82,2,0))&gt;1,F24-(VLOOKUP(G24,Lists!$C$43:$D$82,2,0)+VLOOKUP(H24,Lists!$C$43:$D$82,2,0)+VLOOKUP(I24,Lists!$C$43:$D$82,2,0)),1)</f>
        <v>#N/A</v>
      </c>
      <c r="K24" s="409" t="str">
        <f t="shared" si="0"/>
        <v>No answer given</v>
      </c>
      <c r="L24" s="412"/>
    </row>
    <row r="25" spans="1:14" ht="30" x14ac:dyDescent="0.25">
      <c r="A25" s="412"/>
      <c r="B25" s="618"/>
      <c r="C25" s="253" t="str">
        <f>Matrix!C13</f>
        <v>Air contaminants emissions from biomass combustion</v>
      </c>
      <c r="D25" s="417" t="s">
        <v>208</v>
      </c>
      <c r="E25" s="409" t="str">
        <f>IF($E$2=0,"No answer given",VLOOKUP(C25,Matrix!$D$28:$M$44,MATCH('1 - Pre-screening Assessment'!$E$2,Matrix!$E$27:$M$27,0)+1,0))</f>
        <v>No answer given</v>
      </c>
      <c r="F25" s="409" t="e" cm="1">
        <f t="array" ref="F25">_xlfn.SWITCH(E25,"Low",1,"Medium",2,"Medium to High",2,"High",3)</f>
        <v>#N/A</v>
      </c>
      <c r="G25" s="409"/>
      <c r="H25" s="409"/>
      <c r="I25" s="409"/>
      <c r="J25" s="409" t="e">
        <f>IF(F25-(VLOOKUP(G25,Lists!$C$43:$D$82,2,0)+VLOOKUP(H25,Lists!$C$43:$D$82,2,0)+VLOOKUP(I25,Lists!$C$43:$D$82,2,0))&gt;1,F25-(VLOOKUP(G25,Lists!$C$43:$D$82,2,0)+VLOOKUP(H25,Lists!$C$43:$D$82,2,0)+VLOOKUP(I25,Lists!$C$43:$D$82,2,0)),1)</f>
        <v>#N/A</v>
      </c>
      <c r="K25" s="409" t="str">
        <f t="shared" si="0"/>
        <v>No answer given</v>
      </c>
      <c r="L25" s="412"/>
    </row>
    <row r="26" spans="1:14" ht="15.75" x14ac:dyDescent="0.25">
      <c r="A26" s="412"/>
      <c r="B26" s="619" t="s">
        <v>259</v>
      </c>
      <c r="C26" s="254" t="str">
        <f>Matrix!C14</f>
        <v>Land rights</v>
      </c>
      <c r="D26" s="417" t="s">
        <v>211</v>
      </c>
      <c r="E26" s="409" t="str">
        <f>IF($E$2=0,"No answer given",VLOOKUP(C26,Matrix!$D$28:$M$44,MATCH('1 - Pre-screening Assessment'!$E$2,Matrix!$E$27:$M$27,0)+1,0))</f>
        <v>No answer given</v>
      </c>
      <c r="F26" s="409" t="e" cm="1">
        <f t="array" ref="F26">_xlfn.SWITCH(E26,"Low",1,"Medium",2,"Medium to High",2,"High",3)</f>
        <v>#N/A</v>
      </c>
      <c r="G26" s="409"/>
      <c r="H26" s="409"/>
      <c r="I26" s="409"/>
      <c r="J26" s="409" t="e">
        <f>IF(F26-(VLOOKUP(G26,Lists!$C$43:$D$82,2,0)+VLOOKUP(H26,Lists!$C$43:$D$82,2,0)+VLOOKUP(I26,Lists!$C$43:$D$82,2,0))&gt;1,F26-(VLOOKUP(G26,Lists!$C$43:$D$82,2,0)+VLOOKUP(H26,Lists!$C$43:$D$82,2,0)+VLOOKUP(I26,Lists!$C$43:$D$82,2,0)),1)</f>
        <v>#N/A</v>
      </c>
      <c r="K26" s="409" t="str">
        <f t="shared" si="0"/>
        <v>No answer given</v>
      </c>
      <c r="L26" s="412"/>
    </row>
    <row r="27" spans="1:14" ht="15.75" x14ac:dyDescent="0.25">
      <c r="A27" s="412"/>
      <c r="B27" s="619"/>
      <c r="C27" s="254" t="str">
        <f>Matrix!C15</f>
        <v>Community health and safety</v>
      </c>
      <c r="D27" s="417" t="s">
        <v>214</v>
      </c>
      <c r="E27" s="409" t="str">
        <f>IF($E$2=0,"No answer given",VLOOKUP(C27,Matrix!$D$28:$M$44,MATCH('1 - Pre-screening Assessment'!$E$2,Matrix!$E$27:$M$27,0)+1,0))</f>
        <v>No answer given</v>
      </c>
      <c r="F27" s="409" t="e" cm="1">
        <f t="array" ref="F27">_xlfn.SWITCH(E27,"Low",1,"Medium",2,"Medium to High",2,"High",3)</f>
        <v>#N/A</v>
      </c>
      <c r="G27" s="409"/>
      <c r="H27" s="409"/>
      <c r="I27" s="409"/>
      <c r="J27" s="409" t="e">
        <f>IF(MAX(J22:J25)-(VLOOKUP(G27,Lists!$C$43:$D$82,2,0)+VLOOKUP(H27,Lists!$C$43:$D$82,2,0)+VLOOKUP(I27,Lists!$C$43:$D$82,2,0))&gt;1,MAX(J22:J25)-(VLOOKUP(G27,Lists!$C$43:$D$82,2,0)+VLOOKUP(H27,Lists!$C$43:$D$82,2,0)+VLOOKUP(I27,Lists!$C$43:$D$82,2,0)),1)</f>
        <v>#N/A</v>
      </c>
      <c r="K27" s="409" t="str">
        <f t="shared" si="0"/>
        <v>No answer given</v>
      </c>
      <c r="L27" s="412"/>
      <c r="N27" s="426"/>
    </row>
    <row r="28" spans="1:14" ht="30" x14ac:dyDescent="0.25">
      <c r="A28" s="412"/>
      <c r="B28" s="619"/>
      <c r="C28" s="254" t="str">
        <f>Matrix!C16</f>
        <v>Decent remuneration and compensation for workers</v>
      </c>
      <c r="D28" s="417" t="s">
        <v>215</v>
      </c>
      <c r="E28" s="409" t="str">
        <f>IF($E$2=0,"No answer given",VLOOKUP(C28,Matrix!$D$28:$M$44,MATCH('1 - Pre-screening Assessment'!$E$2,Matrix!$E$27:$M$27,0)+1,0))</f>
        <v>No answer given</v>
      </c>
      <c r="F28" s="409" t="e" cm="1">
        <f t="array" ref="F28">_xlfn.SWITCH(E28,"Low",1,"Medium",2,"Medium to High",2,"High",3)</f>
        <v>#N/A</v>
      </c>
      <c r="G28" s="409"/>
      <c r="H28" s="409"/>
      <c r="I28" s="409"/>
      <c r="J28" s="409" t="e">
        <f>IF(F28-(VLOOKUP(G28,Lists!$C$43:$D$82,2,0)+VLOOKUP(H28,Lists!$C$43:$D$82,2,0)+VLOOKUP(I28,Lists!$C$43:$D$82,2,0))&gt;1,F28-(VLOOKUP(G28,Lists!$C$43:$D$82,2,0)+VLOOKUP(H28,Lists!$C$43:$D$82,2,0)+VLOOKUP(I28,Lists!$C$43:$D$82,2,0)),1)</f>
        <v>#N/A</v>
      </c>
      <c r="K28" s="409" t="str">
        <f t="shared" si="0"/>
        <v>No answer given</v>
      </c>
      <c r="L28" s="412"/>
    </row>
    <row r="29" spans="1:14" ht="15.75" x14ac:dyDescent="0.25">
      <c r="A29" s="412"/>
      <c r="B29" s="619"/>
      <c r="C29" s="254" t="str">
        <f>Matrix!C17</f>
        <v>Occupational health and safety</v>
      </c>
      <c r="D29" s="417" t="s">
        <v>217</v>
      </c>
      <c r="E29" s="409" t="str">
        <f>IF($E$2=0,"No answer given",VLOOKUP(C29,Matrix!$D$28:$M$44,MATCH('1 - Pre-screening Assessment'!$E$2,Matrix!$E$27:$M$27,0)+1,0))</f>
        <v>No answer given</v>
      </c>
      <c r="F29" s="409" t="e" cm="1">
        <f t="array" ref="F29">_xlfn.SWITCH(E29,"Low",1,"Medium",2,"Medium to High",2,"High",3)</f>
        <v>#N/A</v>
      </c>
      <c r="G29" s="409"/>
      <c r="H29" s="409"/>
      <c r="I29" s="409"/>
      <c r="J29" s="409" t="e">
        <f>IF(F29-(VLOOKUP(G29,Lists!$C$43:$D$82,2,0)+VLOOKUP(H29,Lists!$C$43:$D$82,2,0)+VLOOKUP(I29,Lists!$C$43:$D$82,2,0))&gt;1,F29-(VLOOKUP(G29,Lists!$C$43:$D$82,2,0)+VLOOKUP(H29,Lists!$C$43:$D$82,2,0)+VLOOKUP(I29,Lists!$C$43:$D$82,2,0)),1)</f>
        <v>#N/A</v>
      </c>
      <c r="K29" s="409" t="str">
        <f t="shared" si="0"/>
        <v>No answer given</v>
      </c>
      <c r="L29" s="412"/>
    </row>
    <row r="30" spans="1:14" ht="15.75" x14ac:dyDescent="0.25">
      <c r="A30" s="412"/>
      <c r="B30" s="619"/>
      <c r="C30" s="254" t="str">
        <f>Matrix!C18</f>
        <v xml:space="preserve">Human rights, child labor and slavery </v>
      </c>
      <c r="D30" s="417" t="s">
        <v>218</v>
      </c>
      <c r="E30" s="409" t="str">
        <f>IF($E$2=0,"No answer given",VLOOKUP(C30,Matrix!$D$28:$M$44,MATCH('1 - Pre-screening Assessment'!$E$2,Matrix!$E$27:$M$27,0)+1,0))</f>
        <v>No answer given</v>
      </c>
      <c r="F30" s="409" t="e" cm="1">
        <f t="array" ref="F30">_xlfn.SWITCH(E30,"Low",1,"Medium",2,"Medium to High",2,"High",3)</f>
        <v>#N/A</v>
      </c>
      <c r="G30" s="409"/>
      <c r="H30" s="409"/>
      <c r="I30" s="409"/>
      <c r="J30" s="409" t="e">
        <f>IF(F30-(VLOOKUP(G30,Lists!$C$43:$D$82,2,0)+VLOOKUP(H30,Lists!$C$43:$D$82,2,0)+VLOOKUP(I30,Lists!$C$43:$D$82,2,0))&gt;1,F30-(VLOOKUP(G30,Lists!$C$43:$D$82,2,0)+VLOOKUP(H30,Lists!$C$43:$D$82,2,0)+VLOOKUP(I30,Lists!$C$43:$D$82,2,0)),1)</f>
        <v>#N/A</v>
      </c>
      <c r="K30" s="409" t="str">
        <f t="shared" si="0"/>
        <v>No answer given</v>
      </c>
      <c r="L30" s="412"/>
    </row>
    <row r="31" spans="1:14" ht="67.5" customHeight="1" x14ac:dyDescent="0.25">
      <c r="A31" s="412"/>
      <c r="B31" s="620" t="s">
        <v>262</v>
      </c>
      <c r="C31" s="255" t="str">
        <f>Matrix!C19</f>
        <v>Impact on food availability and price</v>
      </c>
      <c r="D31" s="417" t="s">
        <v>219</v>
      </c>
      <c r="E31" s="409" t="str">
        <f>IF($E$2=0,"No answer given",VLOOKUP(C31,Matrix!$D$28:$M$44,MATCH('1 - Pre-screening Assessment'!$E$2,Matrix!$E$27:$M$27,0)+1,0))</f>
        <v>No answer given</v>
      </c>
      <c r="F31" s="409" t="e" cm="1">
        <f t="array" ref="F31">_xlfn.SWITCH(E31,"Low",1,"Medium",2,"Medium to High",2,"High",3)</f>
        <v>#N/A</v>
      </c>
      <c r="G31" s="409"/>
      <c r="H31" s="409"/>
      <c r="I31" s="409"/>
      <c r="J31" s="409" t="e">
        <f>IF(F31-(VLOOKUP(G31,Lists!$C$43:$D$82,2,0)+VLOOKUP(H31,Lists!$C$43:$D$82,2,0)+VLOOKUP(I31,Lists!$C$43:$D$82,2,0))&gt;1,F31-(VLOOKUP(G31,Lists!$C$43:$D$82,2,0)+VLOOKUP(H31,Lists!$C$43:$D$82,2,0)+VLOOKUP(I31,Lists!$C$43:$D$82,2,0)),1)</f>
        <v>#N/A</v>
      </c>
      <c r="K31" s="409" t="str">
        <f t="shared" si="0"/>
        <v>No answer given</v>
      </c>
      <c r="L31" s="412"/>
    </row>
    <row r="32" spans="1:14" ht="75" customHeight="1" x14ac:dyDescent="0.25">
      <c r="A32" s="412"/>
      <c r="B32" s="620"/>
      <c r="C32" s="255" t="str">
        <f>Matrix!C20</f>
        <v>Increased and equitable share of revenues &amp; employment opportunities for local communities development</v>
      </c>
      <c r="D32" s="417" t="s">
        <v>223</v>
      </c>
      <c r="E32" s="409" t="str">
        <f>IF($E$2=0,"No answer given",VLOOKUP(C32,Matrix!$D$28:$M$44,MATCH('1 - Pre-screening Assessment'!$E$2,Matrix!$E$27:$M$27,0)+1,0))</f>
        <v>No answer given</v>
      </c>
      <c r="F32" s="409" t="e" cm="1">
        <f t="array" ref="F32">_xlfn.SWITCH(E32,"Low",1,"Medium",2,"Medium to High",2,"High",3)</f>
        <v>#N/A</v>
      </c>
      <c r="G32" s="409"/>
      <c r="H32" s="409"/>
      <c r="I32" s="409"/>
      <c r="J32" s="409" t="e">
        <f>IF(F32-(VLOOKUP(G32,Lists!$C$43:$D$82,2,0)+VLOOKUP(H32,Lists!$C$43:$D$82,2,0)+VLOOKUP(I32,Lists!$C$43:$D$82,2,0))&gt;1,F32-(VLOOKUP(G32,Lists!$C$43:$D$82,2,0)+VLOOKUP(H32,Lists!$C$43:$D$82,2,0)+VLOOKUP(I32,Lists!$C$43:$D$82,2,0)),1)</f>
        <v>#N/A</v>
      </c>
      <c r="K32" s="409" t="str">
        <f t="shared" si="0"/>
        <v>No answer given</v>
      </c>
      <c r="L32" s="412"/>
    </row>
    <row r="33" spans="1:12" ht="54" customHeight="1" x14ac:dyDescent="0.25">
      <c r="A33" s="412"/>
      <c r="B33" s="615" t="s">
        <v>426</v>
      </c>
      <c r="C33" s="615"/>
      <c r="D33" s="615"/>
      <c r="E33" s="615"/>
      <c r="F33" s="615"/>
      <c r="G33" s="615"/>
      <c r="H33" s="479" t="str">
        <f>IF(E2=Lists!$C$16,"Unacceptable as per criteria set by the Sustainable Biomass Guidelines",IF(COUNTIF(K16:K32,"No answer given")&gt;0,"No answer given",IF(OR(COUNTIF(K16:K32,"High")&gt;0,AND(E2=Lists!$D$13,K31="Medium")),"Unacceptable",IF(COUNTIF(K16:K32,"Medium")&gt;0,"Maybe acceptable upon implementation of the selected mitigation measures and further ones to cover High/Medium Risk indicators","Acceptable upon implementation of the selected mitigation measures"))))</f>
        <v>No answer given</v>
      </c>
      <c r="I33" s="479"/>
      <c r="J33" s="479"/>
      <c r="K33" s="479"/>
      <c r="L33" s="412"/>
    </row>
    <row r="34" spans="1:12" ht="15.75" x14ac:dyDescent="0.25">
      <c r="A34" s="412"/>
      <c r="B34" s="412"/>
      <c r="C34" s="412"/>
      <c r="D34" s="412"/>
      <c r="E34" s="412"/>
      <c r="F34" s="412"/>
      <c r="G34" s="412"/>
      <c r="H34" s="412"/>
      <c r="I34" s="412"/>
      <c r="J34" s="412"/>
      <c r="K34" s="412"/>
      <c r="L34" s="412"/>
    </row>
    <row r="35" spans="1:12" ht="15.75" x14ac:dyDescent="0.25">
      <c r="A35" s="412"/>
      <c r="B35" s="412"/>
      <c r="C35" s="412"/>
      <c r="D35" s="412"/>
      <c r="E35" s="412"/>
      <c r="F35" s="412"/>
      <c r="G35" s="412"/>
      <c r="H35" s="412"/>
      <c r="I35" s="412"/>
      <c r="J35" s="412"/>
      <c r="K35" s="412"/>
      <c r="L35" s="412"/>
    </row>
    <row r="36" spans="1:12" ht="15.75" x14ac:dyDescent="0.25">
      <c r="A36" s="412"/>
      <c r="B36" s="412"/>
      <c r="C36" s="412"/>
      <c r="D36" s="412"/>
      <c r="E36" s="412"/>
      <c r="F36" s="412"/>
      <c r="G36" s="412"/>
      <c r="H36" s="412"/>
      <c r="I36" s="412"/>
      <c r="J36" s="412"/>
      <c r="K36" s="412"/>
      <c r="L36" s="412"/>
    </row>
    <row r="37" spans="1:12" ht="54.95" customHeight="1" x14ac:dyDescent="0.25">
      <c r="A37" s="412"/>
      <c r="B37" s="412"/>
      <c r="C37" s="418" t="s">
        <v>244</v>
      </c>
      <c r="D37" s="419"/>
      <c r="E37" s="249">
        <f>Overview!E16</f>
        <v>0</v>
      </c>
      <c r="F37" s="420"/>
      <c r="G37" s="249">
        <f>Overview!E17</f>
        <v>0</v>
      </c>
      <c r="H37" s="412"/>
      <c r="I37" s="412"/>
      <c r="J37" s="412"/>
      <c r="K37" s="412"/>
      <c r="L37" s="412"/>
    </row>
    <row r="38" spans="1:12" ht="15.75" x14ac:dyDescent="0.25">
      <c r="A38" s="412"/>
      <c r="B38" s="412"/>
      <c r="C38" s="412"/>
      <c r="D38" s="412"/>
      <c r="E38" s="412"/>
      <c r="F38" s="412"/>
      <c r="G38" s="412"/>
      <c r="H38" s="412"/>
      <c r="I38" s="412"/>
      <c r="J38" s="412"/>
      <c r="K38" s="412"/>
      <c r="L38" s="412"/>
    </row>
    <row r="39" spans="1:12" ht="15.75" x14ac:dyDescent="0.25">
      <c r="A39" s="412"/>
      <c r="B39" s="412"/>
      <c r="C39" s="412"/>
      <c r="D39" s="412"/>
      <c r="E39" s="250" t="s">
        <v>15</v>
      </c>
      <c r="F39" s="413"/>
      <c r="G39" s="629" t="s">
        <v>489</v>
      </c>
      <c r="H39" s="629"/>
      <c r="I39" s="629"/>
      <c r="J39" s="412"/>
      <c r="K39" s="412"/>
      <c r="L39" s="412"/>
    </row>
    <row r="40" spans="1:12" ht="15.75" x14ac:dyDescent="0.25">
      <c r="A40" s="412"/>
      <c r="B40" s="412"/>
      <c r="C40" s="414" t="s">
        <v>467</v>
      </c>
      <c r="D40" s="412"/>
      <c r="E40" s="412"/>
      <c r="F40" s="412"/>
      <c r="G40" s="412"/>
      <c r="H40" s="412"/>
      <c r="I40" s="412"/>
      <c r="J40" s="412"/>
      <c r="K40" s="412"/>
      <c r="L40" s="412"/>
    </row>
    <row r="41" spans="1:12" ht="15.75" x14ac:dyDescent="0.25">
      <c r="A41" s="412"/>
      <c r="B41" s="412"/>
      <c r="C41" s="415" t="s">
        <v>529</v>
      </c>
      <c r="D41" s="412"/>
      <c r="E41" s="389">
        <f>Overview!$F$28</f>
        <v>0</v>
      </c>
      <c r="F41" s="413"/>
      <c r="G41" s="621">
        <f>Overview!$G$28</f>
        <v>0</v>
      </c>
      <c r="H41" s="621"/>
      <c r="I41" s="621"/>
      <c r="J41" s="412"/>
      <c r="K41" s="412"/>
      <c r="L41" s="412"/>
    </row>
    <row r="42" spans="1:12" ht="15.75" x14ac:dyDescent="0.25">
      <c r="A42" s="412"/>
      <c r="B42" s="412"/>
      <c r="C42" s="415" t="s">
        <v>528</v>
      </c>
      <c r="D42" s="412"/>
      <c r="E42" s="389">
        <f>Overview!$F$30</f>
        <v>0</v>
      </c>
      <c r="F42" s="413"/>
      <c r="G42" s="621">
        <f>Overview!$G$30</f>
        <v>0</v>
      </c>
      <c r="H42" s="621"/>
      <c r="I42" s="621"/>
      <c r="J42" s="412"/>
      <c r="K42" s="412"/>
      <c r="L42" s="412"/>
    </row>
    <row r="43" spans="1:12" ht="29.25" customHeight="1" x14ac:dyDescent="0.25">
      <c r="A43" s="412"/>
      <c r="B43" s="412"/>
      <c r="C43" s="416" t="s">
        <v>468</v>
      </c>
      <c r="D43" s="412"/>
      <c r="E43" s="389">
        <f>Overview!$F$33</f>
        <v>0</v>
      </c>
      <c r="F43" s="413"/>
      <c r="G43" s="621">
        <f>Overview!$G$33</f>
        <v>0</v>
      </c>
      <c r="H43" s="621"/>
      <c r="I43" s="621"/>
      <c r="J43" s="412"/>
      <c r="K43" s="412"/>
      <c r="L43" s="412"/>
    </row>
    <row r="44" spans="1:12" ht="15.75" x14ac:dyDescent="0.25">
      <c r="A44" s="412"/>
      <c r="B44" s="412"/>
      <c r="C44" s="414" t="s">
        <v>240</v>
      </c>
      <c r="D44" s="412"/>
      <c r="E44" s="389">
        <f>Overview!$F$36</f>
        <v>0</v>
      </c>
      <c r="F44" s="413"/>
      <c r="G44" s="621">
        <f>Overview!$G$36</f>
        <v>0</v>
      </c>
      <c r="H44" s="621"/>
      <c r="I44" s="621"/>
      <c r="J44" s="412"/>
      <c r="K44" s="412"/>
      <c r="L44" s="412"/>
    </row>
    <row r="45" spans="1:12" ht="31.5" x14ac:dyDescent="0.25">
      <c r="A45" s="412"/>
      <c r="B45" s="412"/>
      <c r="C45" s="416" t="s">
        <v>466</v>
      </c>
      <c r="D45" s="412"/>
      <c r="E45" s="389">
        <f>Overview!$F$39</f>
        <v>0</v>
      </c>
      <c r="F45" s="413"/>
      <c r="G45" s="621">
        <f>Overview!$G$39</f>
        <v>0</v>
      </c>
      <c r="H45" s="621"/>
      <c r="I45" s="621"/>
      <c r="J45" s="412"/>
      <c r="K45" s="412"/>
      <c r="L45" s="412"/>
    </row>
    <row r="46" spans="1:12" ht="15.75" x14ac:dyDescent="0.25">
      <c r="A46" s="412"/>
      <c r="B46" s="412"/>
      <c r="C46" s="414" t="s">
        <v>241</v>
      </c>
      <c r="D46" s="412"/>
      <c r="E46" s="389">
        <f>Overview!$F$42</f>
        <v>0</v>
      </c>
      <c r="F46" s="413"/>
      <c r="G46" s="621">
        <f>Overview!$G$42</f>
        <v>0</v>
      </c>
      <c r="H46" s="621"/>
      <c r="I46" s="621"/>
      <c r="J46" s="412"/>
      <c r="K46" s="412"/>
      <c r="L46" s="412"/>
    </row>
    <row r="47" spans="1:12" ht="15.75" x14ac:dyDescent="0.25">
      <c r="A47" s="412"/>
      <c r="B47" s="412"/>
      <c r="C47" s="412"/>
      <c r="D47" s="412"/>
      <c r="E47" s="412"/>
      <c r="F47" s="412"/>
      <c r="G47" s="412"/>
      <c r="H47" s="412"/>
      <c r="I47" s="412"/>
      <c r="J47" s="412"/>
      <c r="K47" s="412"/>
      <c r="L47" s="412"/>
    </row>
    <row r="48" spans="1:12" ht="42.6" customHeight="1" x14ac:dyDescent="0.25">
      <c r="A48" s="412"/>
      <c r="B48" s="622" t="s">
        <v>277</v>
      </c>
      <c r="C48" s="622" t="s">
        <v>471</v>
      </c>
      <c r="D48" s="622" t="s">
        <v>165</v>
      </c>
      <c r="E48" s="625" t="s">
        <v>442</v>
      </c>
      <c r="F48" s="626"/>
      <c r="G48" s="626"/>
      <c r="H48" s="626"/>
      <c r="I48" s="626"/>
      <c r="J48" s="626"/>
      <c r="K48" s="627"/>
      <c r="L48" s="412"/>
    </row>
    <row r="49" spans="1:12" ht="15.75" x14ac:dyDescent="0.25">
      <c r="A49" s="412"/>
      <c r="B49" s="623"/>
      <c r="C49" s="623"/>
      <c r="D49" s="623"/>
      <c r="E49" s="622" t="s">
        <v>395</v>
      </c>
      <c r="F49" s="622" t="s">
        <v>470</v>
      </c>
      <c r="G49" s="622" t="s">
        <v>456</v>
      </c>
      <c r="H49" s="622" t="s">
        <v>457</v>
      </c>
      <c r="I49" s="622" t="s">
        <v>498</v>
      </c>
      <c r="J49" s="622" t="s">
        <v>472</v>
      </c>
      <c r="K49" s="622" t="s">
        <v>469</v>
      </c>
      <c r="L49" s="412"/>
    </row>
    <row r="50" spans="1:12" ht="15.75" x14ac:dyDescent="0.25">
      <c r="A50" s="412"/>
      <c r="B50" s="624"/>
      <c r="C50" s="624"/>
      <c r="D50" s="624"/>
      <c r="E50" s="624"/>
      <c r="F50" s="624"/>
      <c r="G50" s="624"/>
      <c r="H50" s="624"/>
      <c r="I50" s="624"/>
      <c r="J50" s="624"/>
      <c r="K50" s="624"/>
      <c r="L50" s="412"/>
    </row>
    <row r="51" spans="1:12" ht="64.5" customHeight="1" x14ac:dyDescent="0.25">
      <c r="A51" s="412"/>
      <c r="B51" s="616" t="s">
        <v>56</v>
      </c>
      <c r="C51" s="251" t="str">
        <f>Matrix!C4</f>
        <v>Greenhouse gas (GHG) emissions from biomass production, transportation and storage (upstream)</v>
      </c>
      <c r="D51" s="417" t="s">
        <v>168</v>
      </c>
      <c r="E51" s="409" t="str">
        <f>IF($E$37=0,"No answer given",VLOOKUP(C51,Matrix!$D$28:$M$44,MATCH('1 - Pre-screening Assessment'!$E$37,Matrix!$E$27:$M$27,0)+1,0))</f>
        <v>No answer given</v>
      </c>
      <c r="F51" s="409" t="e" cm="1">
        <f t="array" ref="F51">_xlfn.SWITCH(E51,"Low",1,"Medium",2,"Medium to High",2,"High",3)</f>
        <v>#N/A</v>
      </c>
      <c r="G51" s="409"/>
      <c r="H51" s="409"/>
      <c r="I51" s="409"/>
      <c r="J51" s="409" t="e">
        <f>IF(F51-(VLOOKUP(G51,Lists!$C$43:$D$82,2,0)+VLOOKUP(H51,Lists!$C$43:$D$82,2,0)+VLOOKUP(I51,Lists!$C$43:$D$82,2,0))&gt;1,F51-(VLOOKUP(G51,Lists!$C$43:$D$82,2,0)+VLOOKUP(H51,Lists!$C$43:$D$82,2,0)+VLOOKUP(I51,Lists!$C$43:$D$82,2,0)),1)</f>
        <v>#N/A</v>
      </c>
      <c r="K51" s="409" t="str">
        <f>IF(E51="No answer given","No answer given",CHOOSE(J51,"Low","Medium","High"))</f>
        <v>No answer given</v>
      </c>
      <c r="L51" s="412"/>
    </row>
    <row r="52" spans="1:12" ht="54.75" customHeight="1" x14ac:dyDescent="0.25">
      <c r="A52" s="412"/>
      <c r="B52" s="616"/>
      <c r="C52" s="251" t="str">
        <f>Matrix!C5</f>
        <v>GHG emissions from biomass utilization (combustion)</v>
      </c>
      <c r="D52" s="417" t="s">
        <v>173</v>
      </c>
      <c r="E52" s="409" t="str">
        <f>IF($E$37=0,"No answer given",VLOOKUP(C52,Matrix!$D$28:$M$44,MATCH('1 - Pre-screening Assessment'!$E$37,Matrix!$E$27:$M$27,0)+1,0))</f>
        <v>No answer given</v>
      </c>
      <c r="F52" s="409" t="e" cm="1">
        <f t="array" ref="F52">_xlfn.SWITCH(E52,"Low",1,"Medium",2,"Medium to High",2,"High",3)</f>
        <v>#N/A</v>
      </c>
      <c r="G52" s="409"/>
      <c r="H52" s="409"/>
      <c r="I52" s="409"/>
      <c r="J52" s="409" t="e">
        <f>IF(F52-(VLOOKUP(G52,Lists!$C$43:$D$82,2,0)+VLOOKUP(H52,Lists!$C$43:$D$82,2,0)+VLOOKUP(I52,Lists!$C$43:$D$82,2,0))&gt;1,F52-(VLOOKUP(G52,Lists!$C$43:$D$82,2,0)+VLOOKUP(H52,Lists!$C$43:$D$82,2,0)+VLOOKUP(I52,Lists!$C$43:$D$82,2,0)),1)</f>
        <v>#N/A</v>
      </c>
      <c r="K52" s="409" t="str">
        <f t="shared" ref="K52:K67" si="1">IF(E52="No answer given","No answer given",CHOOSE(J52,"Low","Medium","High"))</f>
        <v>No answer given</v>
      </c>
      <c r="L52" s="412"/>
    </row>
    <row r="53" spans="1:12" ht="30" x14ac:dyDescent="0.25">
      <c r="A53" s="412"/>
      <c r="B53" s="616"/>
      <c r="C53" s="251" t="str">
        <f>Matrix!C6</f>
        <v>Impact on carbon sinks (such as deforestation)</v>
      </c>
      <c r="D53" s="417" t="s">
        <v>177</v>
      </c>
      <c r="E53" s="409" t="str">
        <f>IF($E$37=0,"No answer given",VLOOKUP(C53,Matrix!$D$28:$M$44,MATCH('1 - Pre-screening Assessment'!$E$37,Matrix!$E$27:$M$27,0)+1,0))</f>
        <v>No answer given</v>
      </c>
      <c r="F53" s="409" t="e" cm="1">
        <f t="array" ref="F53">_xlfn.SWITCH(E53,"Low",1,"Medium",2,"Medium to High",2,"High",3)</f>
        <v>#N/A</v>
      </c>
      <c r="G53" s="409"/>
      <c r="H53" s="409"/>
      <c r="I53" s="409"/>
      <c r="J53" s="409" t="e">
        <f>IF(F53-(VLOOKUP(G53,Lists!$C$43:$D$82,2,0)+VLOOKUP(H53,Lists!$C$43:$D$82,2,0)+VLOOKUP(I53,Lists!$C$43:$D$82,2,0))&gt;1,F53-(VLOOKUP(G53,Lists!$C$43:$D$82,2,0)+VLOOKUP(H53,Lists!$C$43:$D$82,2,0)+VLOOKUP(I53,Lists!$C$43:$D$82,2,0)),1)</f>
        <v>#N/A</v>
      </c>
      <c r="K53" s="409" t="str">
        <f t="shared" si="1"/>
        <v>No answer given</v>
      </c>
      <c r="L53" s="412"/>
    </row>
    <row r="54" spans="1:12" ht="75" customHeight="1" x14ac:dyDescent="0.25">
      <c r="A54" s="412"/>
      <c r="B54" s="617" t="s">
        <v>254</v>
      </c>
      <c r="C54" s="252" t="str">
        <f>Matrix!C7</f>
        <v>Loss of natural habitats causing loss of biodiversity (such as deforestation) from land-use change (LUC) and indirect land-use change (ILUC)</v>
      </c>
      <c r="D54" s="417" t="s">
        <v>180</v>
      </c>
      <c r="E54" s="409" t="str">
        <f>IF($E$37=0,"No answer given",VLOOKUP(C54,Matrix!$D$28:$M$44,MATCH('1 - Pre-screening Assessment'!$E$37,Matrix!$E$27:$M$27,0)+1,0))</f>
        <v>No answer given</v>
      </c>
      <c r="F54" s="409" t="e" cm="1">
        <f t="array" ref="F54">_xlfn.SWITCH(E54,"Low",1,"Medium",2,"Medium to High",2,"High",3)</f>
        <v>#N/A</v>
      </c>
      <c r="G54" s="409"/>
      <c r="H54" s="409"/>
      <c r="I54" s="409"/>
      <c r="J54" s="409" t="e">
        <f>IF(F54-(VLOOKUP(G54,Lists!$C$43:$D$82,2,0)+VLOOKUP(H54,Lists!$C$43:$D$82,2,0)+VLOOKUP(I54,Lists!$C$43:$D$82,2,0))&gt;1,F54-(VLOOKUP(G54,Lists!$C$43:$D$82,2,0)+VLOOKUP(H54,Lists!$C$43:$D$82,2,0)+VLOOKUP(I54,Lists!$C$43:$D$82,2,0)),1)</f>
        <v>#N/A</v>
      </c>
      <c r="K54" s="409" t="str">
        <f>IF(E54="No answer given","No answer given",CHOOSE(J54,"Low","Medium","High"))</f>
        <v>No answer given</v>
      </c>
      <c r="L54" s="412"/>
    </row>
    <row r="55" spans="1:12" ht="30" x14ac:dyDescent="0.25">
      <c r="A55" s="412"/>
      <c r="B55" s="617"/>
      <c r="C55" s="252" t="str">
        <f>Matrix!C8</f>
        <v>Loss of biodiversity due to increased use of chemicals (pesticides, herbicides, etc.)</v>
      </c>
      <c r="D55" s="417" t="s">
        <v>183</v>
      </c>
      <c r="E55" s="409" t="str">
        <f>IF($E$37=0,"No answer given",VLOOKUP(C55,Matrix!$D$28:$M$44,MATCH('1 - Pre-screening Assessment'!$E$37,Matrix!$E$27:$M$27,0)+1,0))</f>
        <v>No answer given</v>
      </c>
      <c r="F55" s="409" t="e" cm="1">
        <f t="array" ref="F55">_xlfn.SWITCH(E55,"Low",1,"Medium",2,"Medium to High",2,"High",3)</f>
        <v>#N/A</v>
      </c>
      <c r="G55" s="409"/>
      <c r="H55" s="409"/>
      <c r="I55" s="409"/>
      <c r="J55" s="409" t="e">
        <f>IF(F55-(VLOOKUP(G55,Lists!$C$43:$D$82,2,0)+VLOOKUP(H55,Lists!$C$43:$D$82,2,0)+VLOOKUP(I55,Lists!$C$43:$D$82,2,0))&gt;1,F55-(VLOOKUP(G55,Lists!$C$43:$D$82,2,0)+VLOOKUP(H55,Lists!$C$43:$D$82,2,0)+VLOOKUP(I55,Lists!$C$43:$D$82,2,0)),1)</f>
        <v>#N/A</v>
      </c>
      <c r="K55" s="409" t="str">
        <f t="shared" si="1"/>
        <v>No answer given</v>
      </c>
      <c r="L55" s="412"/>
    </row>
    <row r="56" spans="1:12" ht="30" x14ac:dyDescent="0.25">
      <c r="A56" s="412"/>
      <c r="B56" s="617"/>
      <c r="C56" s="252" t="str">
        <f>Matrix!C9</f>
        <v>Water consumption for biomass production</v>
      </c>
      <c r="D56" s="417" t="s">
        <v>190</v>
      </c>
      <c r="E56" s="409" t="str">
        <f>IF($E$37=0,"No answer given",VLOOKUP(C56,Matrix!$D$28:$M$44,MATCH('1 - Pre-screening Assessment'!$E$37,Matrix!$E$27:$M$27,0)+1,0))</f>
        <v>No answer given</v>
      </c>
      <c r="F56" s="409" t="e" cm="1">
        <f t="array" ref="F56">_xlfn.SWITCH(E56,"Low",1,"Medium",2,"Medium to High",2,"High",3)</f>
        <v>#N/A</v>
      </c>
      <c r="G56" s="409"/>
      <c r="H56" s="409"/>
      <c r="I56" s="409"/>
      <c r="J56" s="409" t="e">
        <f>IF(F56-(VLOOKUP(G56,Lists!$C$43:$D$82,2,0)+VLOOKUP(H56,Lists!$C$43:$D$82,2,0)+VLOOKUP(I56,Lists!$C$43:$D$82,2,0))&gt;1,F56-(VLOOKUP(G56,Lists!$C$43:$D$82,2,0)+VLOOKUP(H56,Lists!$C$43:$D$82,2,0)+VLOOKUP(I56,Lists!$C$43:$D$82,2,0)),1)</f>
        <v>#N/A</v>
      </c>
      <c r="K56" s="409" t="str">
        <f t="shared" si="1"/>
        <v>No answer given</v>
      </c>
      <c r="L56" s="412"/>
    </row>
    <row r="57" spans="1:12" ht="15.75" x14ac:dyDescent="0.25">
      <c r="A57" s="412"/>
      <c r="B57" s="617"/>
      <c r="C57" s="252" t="str">
        <f>Matrix!C10</f>
        <v>Water &amp; soil contamination</v>
      </c>
      <c r="D57" s="417" t="s">
        <v>196</v>
      </c>
      <c r="E57" s="409" t="str">
        <f>IF($E$37=0,"No answer given",VLOOKUP(C57,Matrix!$D$28:$M$44,MATCH('1 - Pre-screening Assessment'!$E$37,Matrix!$E$27:$M$27,0)+1,0))</f>
        <v>No answer given</v>
      </c>
      <c r="F57" s="409" t="e" cm="1">
        <f t="array" ref="F57">_xlfn.SWITCH(E57,"Low",1,"Medium",2,"Medium to High",2,"High",3)</f>
        <v>#N/A</v>
      </c>
      <c r="G57" s="409"/>
      <c r="H57" s="409"/>
      <c r="I57" s="409"/>
      <c r="J57" s="409" t="e">
        <f>IF(F57-(VLOOKUP(G57,Lists!$C$43:$D$82,2,0)+VLOOKUP(H57,Lists!$C$43:$D$82,2,0)+VLOOKUP(I57,Lists!$C$43:$D$82,2,0))&gt;1,F57-(VLOOKUP(G57,Lists!$C$43:$D$82,2,0)+VLOOKUP(H57,Lists!$C$43:$D$82,2,0)+VLOOKUP(I57,Lists!$C$43:$D$82,2,0)),1)</f>
        <v>#N/A</v>
      </c>
      <c r="K57" s="409" t="str">
        <f t="shared" si="1"/>
        <v>No answer given</v>
      </c>
      <c r="L57" s="412"/>
    </row>
    <row r="58" spans="1:12" ht="30" x14ac:dyDescent="0.25">
      <c r="A58" s="412"/>
      <c r="B58" s="618" t="s">
        <v>256</v>
      </c>
      <c r="C58" s="253" t="str">
        <f>Matrix!C11</f>
        <v>Open field burning of agricultural waste and wildfires</v>
      </c>
      <c r="D58" s="417" t="s">
        <v>203</v>
      </c>
      <c r="E58" s="409" t="str">
        <f>IF($E$37=0,"No answer given",VLOOKUP(C58,Matrix!$D$28:$M$44,MATCH('1 - Pre-screening Assessment'!$E$37,Matrix!$E$27:$M$27,0)+1,0))</f>
        <v>No answer given</v>
      </c>
      <c r="F58" s="409" t="e" cm="1">
        <f t="array" ref="F58">_xlfn.SWITCH(E58,"Low",1,"Medium",2,"Medium to High",2,"High",3)</f>
        <v>#N/A</v>
      </c>
      <c r="G58" s="409"/>
      <c r="H58" s="409"/>
      <c r="I58" s="409"/>
      <c r="J58" s="409" t="e">
        <f>IF(F58-(VLOOKUP(G58,Lists!$C$43:$D$82,2,0)+VLOOKUP(H58,Lists!$C$43:$D$82,2,0)+VLOOKUP(I58,Lists!$C$43:$D$82,2,0))&gt;1,F58-(VLOOKUP(G58,Lists!$C$43:$D$82,2,0)+VLOOKUP(H58,Lists!$C$43:$D$82,2,0)+VLOOKUP(I58,Lists!$C$43:$D$82,2,0)),1)</f>
        <v>#N/A</v>
      </c>
      <c r="K58" s="409" t="str">
        <f t="shared" si="1"/>
        <v>No answer given</v>
      </c>
      <c r="L58" s="412"/>
    </row>
    <row r="59" spans="1:12" ht="30" x14ac:dyDescent="0.25">
      <c r="A59" s="412"/>
      <c r="B59" s="618"/>
      <c r="C59" s="253" t="str">
        <f>Matrix!C12</f>
        <v>Air contaminants emissions during production processes</v>
      </c>
      <c r="D59" s="417" t="s">
        <v>205</v>
      </c>
      <c r="E59" s="409" t="str">
        <f>IF($E$37=0,"No answer given",VLOOKUP(C59,Matrix!$D$28:$M$44,MATCH('1 - Pre-screening Assessment'!$E$37,Matrix!$E$27:$M$27,0)+1,0))</f>
        <v>No answer given</v>
      </c>
      <c r="F59" s="409" t="e" cm="1">
        <f t="array" ref="F59">_xlfn.SWITCH(E59,"Low",1,"Medium",2,"Medium to High",2,"High",3)</f>
        <v>#N/A</v>
      </c>
      <c r="G59" s="409"/>
      <c r="H59" s="409"/>
      <c r="I59" s="409"/>
      <c r="J59" s="409" t="e">
        <f>IF(F59-(VLOOKUP(G59,Lists!$C$43:$D$82,2,0)+VLOOKUP(H59,Lists!$C$43:$D$82,2,0)+VLOOKUP(I59,Lists!$C$43:$D$82,2,0))&gt;1,F59-(VLOOKUP(G59,Lists!$C$43:$D$82,2,0)+VLOOKUP(H59,Lists!$C$43:$D$82,2,0)+VLOOKUP(I59,Lists!$C$43:$D$82,2,0)),1)</f>
        <v>#N/A</v>
      </c>
      <c r="K59" s="409" t="str">
        <f t="shared" si="1"/>
        <v>No answer given</v>
      </c>
      <c r="L59" s="412"/>
    </row>
    <row r="60" spans="1:12" ht="30" x14ac:dyDescent="0.25">
      <c r="A60" s="412"/>
      <c r="B60" s="618"/>
      <c r="C60" s="253" t="str">
        <f>Matrix!C13</f>
        <v>Air contaminants emissions from biomass combustion</v>
      </c>
      <c r="D60" s="417" t="s">
        <v>208</v>
      </c>
      <c r="E60" s="409" t="str">
        <f>IF($E$37=0,"No answer given",VLOOKUP(C60,Matrix!$D$28:$M$44,MATCH('1 - Pre-screening Assessment'!$E$37,Matrix!$E$27:$M$27,0)+1,0))</f>
        <v>No answer given</v>
      </c>
      <c r="F60" s="409" t="e" cm="1">
        <f t="array" ref="F60">_xlfn.SWITCH(E60,"Low",1,"Medium",2,"Medium to High",2,"High",3)</f>
        <v>#N/A</v>
      </c>
      <c r="G60" s="409"/>
      <c r="H60" s="409"/>
      <c r="I60" s="409"/>
      <c r="J60" s="409" t="e">
        <f>IF(F60-(VLOOKUP(G60,Lists!$C$43:$D$82,2,0)+VLOOKUP(H60,Lists!$C$43:$D$82,2,0)+VLOOKUP(I60,Lists!$C$43:$D$82,2,0))&gt;1,F60-(VLOOKUP(G60,Lists!$C$43:$D$82,2,0)+VLOOKUP(H60,Lists!$C$43:$D$82,2,0)+VLOOKUP(I60,Lists!$C$43:$D$82,2,0)),1)</f>
        <v>#N/A</v>
      </c>
      <c r="K60" s="409" t="str">
        <f t="shared" si="1"/>
        <v>No answer given</v>
      </c>
      <c r="L60" s="412"/>
    </row>
    <row r="61" spans="1:12" ht="15.75" x14ac:dyDescent="0.25">
      <c r="A61" s="412"/>
      <c r="B61" s="619" t="s">
        <v>259</v>
      </c>
      <c r="C61" s="254" t="str">
        <f>Matrix!C14</f>
        <v>Land rights</v>
      </c>
      <c r="D61" s="417" t="s">
        <v>211</v>
      </c>
      <c r="E61" s="409" t="str">
        <f>IF($E$37=0,"No answer given",VLOOKUP(C61,Matrix!$D$28:$M$44,MATCH('1 - Pre-screening Assessment'!$E$37,Matrix!$E$27:$M$27,0)+1,0))</f>
        <v>No answer given</v>
      </c>
      <c r="F61" s="409" t="e" cm="1">
        <f t="array" ref="F61">_xlfn.SWITCH(E61,"Low",1,"Medium",2,"Medium to High",2,"High",3)</f>
        <v>#N/A</v>
      </c>
      <c r="G61" s="409"/>
      <c r="H61" s="409"/>
      <c r="I61" s="409"/>
      <c r="J61" s="409" t="e">
        <f>IF(F61-(VLOOKUP(G61,Lists!$C$43:$D$82,2,0)+VLOOKUP(H61,Lists!$C$43:$D$82,2,0)+VLOOKUP(I61,Lists!$C$43:$D$82,2,0))&gt;1,F61-(VLOOKUP(G61,Lists!$C$43:$D$82,2,0)+VLOOKUP(H61,Lists!$C$43:$D$82,2,0)+VLOOKUP(I61,Lists!$C$43:$D$82,2,0)),1)</f>
        <v>#N/A</v>
      </c>
      <c r="K61" s="409" t="str">
        <f t="shared" si="1"/>
        <v>No answer given</v>
      </c>
      <c r="L61" s="412"/>
    </row>
    <row r="62" spans="1:12" ht="15.75" x14ac:dyDescent="0.25">
      <c r="A62" s="412"/>
      <c r="B62" s="619"/>
      <c r="C62" s="254" t="str">
        <f>Matrix!C15</f>
        <v>Community health and safety</v>
      </c>
      <c r="D62" s="417" t="s">
        <v>214</v>
      </c>
      <c r="E62" s="409" t="str">
        <f>IF($E$37=0,"No answer given",VLOOKUP(C62,Matrix!$D$28:$M$44,MATCH('1 - Pre-screening Assessment'!$E$37,Matrix!$E$27:$M$27,0)+1,0))</f>
        <v>No answer given</v>
      </c>
      <c r="F62" s="409" t="e" cm="1">
        <f t="array" ref="F62">_xlfn.SWITCH(E62,"Low",1,"Medium",2,"Medium to High",2,"High",3)</f>
        <v>#N/A</v>
      </c>
      <c r="G62" s="409"/>
      <c r="H62" s="409"/>
      <c r="I62" s="409"/>
      <c r="J62" s="409" t="e">
        <f>IF(MAX(J57:J60)-(VLOOKUP(G62,Lists!$C$43:$D$82,2,0)+VLOOKUP(H62,Lists!$C$43:$D$82,2,0)+VLOOKUP(I62,Lists!$C$43:$D$82,2,0))&gt;1,MAX(J57:J60)-(VLOOKUP(G62,Lists!$C$43:$D$82,2,0)+VLOOKUP(H62,Lists!$C$43:$D$82,2,0)+VLOOKUP(I62,Lists!$C$43:$D$82,2,0)),1)</f>
        <v>#N/A</v>
      </c>
      <c r="K62" s="409" t="str">
        <f t="shared" si="1"/>
        <v>No answer given</v>
      </c>
      <c r="L62" s="412"/>
    </row>
    <row r="63" spans="1:12" ht="30" x14ac:dyDescent="0.25">
      <c r="A63" s="412"/>
      <c r="B63" s="619"/>
      <c r="C63" s="254" t="str">
        <f>Matrix!C16</f>
        <v>Decent remuneration and compensation for workers</v>
      </c>
      <c r="D63" s="417" t="s">
        <v>215</v>
      </c>
      <c r="E63" s="409" t="str">
        <f>IF($E$37=0,"No answer given",VLOOKUP(C63,Matrix!$D$28:$M$44,MATCH('1 - Pre-screening Assessment'!$E$37,Matrix!$E$27:$M$27,0)+1,0))</f>
        <v>No answer given</v>
      </c>
      <c r="F63" s="409" t="e" cm="1">
        <f t="array" ref="F63">_xlfn.SWITCH(E63,"Low",1,"Medium",2,"Medium to High",2,"High",3)</f>
        <v>#N/A</v>
      </c>
      <c r="G63" s="409"/>
      <c r="H63" s="409"/>
      <c r="I63" s="409"/>
      <c r="J63" s="409" t="e">
        <f>IF(F63-(VLOOKUP(G63,Lists!$C$43:$D$82,2,0)+VLOOKUP(H63,Lists!$C$43:$D$82,2,0)+VLOOKUP(I63,Lists!$C$43:$D$82,2,0))&gt;1,F63-(VLOOKUP(G63,Lists!$C$43:$D$82,2,0)+VLOOKUP(H63,Lists!$C$43:$D$82,2,0)+VLOOKUP(I63,Lists!$C$43:$D$82,2,0)),1)</f>
        <v>#N/A</v>
      </c>
      <c r="K63" s="409" t="str">
        <f t="shared" si="1"/>
        <v>No answer given</v>
      </c>
      <c r="L63" s="412"/>
    </row>
    <row r="64" spans="1:12" ht="15.75" x14ac:dyDescent="0.25">
      <c r="A64" s="412"/>
      <c r="B64" s="619"/>
      <c r="C64" s="254" t="str">
        <f>Matrix!C17</f>
        <v>Occupational health and safety</v>
      </c>
      <c r="D64" s="417" t="s">
        <v>217</v>
      </c>
      <c r="E64" s="409" t="str">
        <f>IF($E$37=0,"No answer given",VLOOKUP(C64,Matrix!$D$28:$M$44,MATCH('1 - Pre-screening Assessment'!$E$37,Matrix!$E$27:$M$27,0)+1,0))</f>
        <v>No answer given</v>
      </c>
      <c r="F64" s="409" t="e" cm="1">
        <f t="array" ref="F64">_xlfn.SWITCH(E64,"Low",1,"Medium",2,"Medium to High",2,"High",3)</f>
        <v>#N/A</v>
      </c>
      <c r="G64" s="409"/>
      <c r="H64" s="409"/>
      <c r="I64" s="409"/>
      <c r="J64" s="409" t="e">
        <f>IF(F64-(VLOOKUP(G64,Lists!$C$43:$D$82,2,0)+VLOOKUP(H64,Lists!$C$43:$D$82,2,0)+VLOOKUP(I64,Lists!$C$43:$D$82,2,0))&gt;1,F64-(VLOOKUP(G64,Lists!$C$43:$D$82,2,0)+VLOOKUP(H64,Lists!$C$43:$D$82,2,0)+VLOOKUP(I64,Lists!$C$43:$D$82,2,0)),1)</f>
        <v>#N/A</v>
      </c>
      <c r="K64" s="409" t="str">
        <f t="shared" si="1"/>
        <v>No answer given</v>
      </c>
      <c r="L64" s="412"/>
    </row>
    <row r="65" spans="1:12" ht="15.75" x14ac:dyDescent="0.25">
      <c r="A65" s="412"/>
      <c r="B65" s="619"/>
      <c r="C65" s="254" t="str">
        <f>Matrix!C18</f>
        <v xml:space="preserve">Human rights, child labor and slavery </v>
      </c>
      <c r="D65" s="417" t="s">
        <v>218</v>
      </c>
      <c r="E65" s="409" t="str">
        <f>IF($E$37=0,"No answer given",VLOOKUP(C65,Matrix!$D$28:$M$44,MATCH('1 - Pre-screening Assessment'!$E$37,Matrix!$E$27:$M$27,0)+1,0))</f>
        <v>No answer given</v>
      </c>
      <c r="F65" s="409" t="e" cm="1">
        <f t="array" ref="F65">_xlfn.SWITCH(E65,"Low",1,"Medium",2,"Medium to High",2,"High",3)</f>
        <v>#N/A</v>
      </c>
      <c r="G65" s="409"/>
      <c r="H65" s="409"/>
      <c r="I65" s="409"/>
      <c r="J65" s="409" t="e">
        <f>IF(F65-(VLOOKUP(G65,Lists!$C$43:$D$82,2,0)+VLOOKUP(H65,Lists!$C$43:$D$82,2,0)+VLOOKUP(I65,Lists!$C$43:$D$82,2,0))&gt;1,F65-(VLOOKUP(G65,Lists!$C$43:$D$82,2,0)+VLOOKUP(H65,Lists!$C$43:$D$82,2,0)+VLOOKUP(I65,Lists!$C$43:$D$82,2,0)),1)</f>
        <v>#N/A</v>
      </c>
      <c r="K65" s="409" t="str">
        <f t="shared" si="1"/>
        <v>No answer given</v>
      </c>
      <c r="L65" s="412"/>
    </row>
    <row r="66" spans="1:12" ht="15.75" x14ac:dyDescent="0.25">
      <c r="A66" s="412"/>
      <c r="B66" s="620" t="s">
        <v>262</v>
      </c>
      <c r="C66" s="255" t="str">
        <f>Matrix!C19</f>
        <v>Impact on food availability and price</v>
      </c>
      <c r="D66" s="417" t="s">
        <v>219</v>
      </c>
      <c r="E66" s="409" t="str">
        <f>IF($E$37=0,"No answer given",VLOOKUP(C66,Matrix!$D$28:$M$44,MATCH('1 - Pre-screening Assessment'!$E$37,Matrix!$E$27:$M$27,0)+1,0))</f>
        <v>No answer given</v>
      </c>
      <c r="F66" s="409" t="e" cm="1">
        <f t="array" ref="F66">_xlfn.SWITCH(E66,"Low",1,"Medium",2,"Medium to High",2,"High",3)</f>
        <v>#N/A</v>
      </c>
      <c r="G66" s="409"/>
      <c r="H66" s="409"/>
      <c r="I66" s="409"/>
      <c r="J66" s="409" t="e">
        <f>IF(F66-(VLOOKUP(G66,Lists!$C$43:$D$82,2,0)+VLOOKUP(H66,Lists!$C$43:$D$82,2,0)+VLOOKUP(I66,Lists!$C$43:$D$82,2,0))&gt;1,F66-(VLOOKUP(G66,Lists!$C$43:$D$82,2,0)+VLOOKUP(H66,Lists!$C$43:$D$82,2,0)+VLOOKUP(I66,Lists!$C$43:$D$82,2,0)),1)</f>
        <v>#N/A</v>
      </c>
      <c r="K66" s="409" t="str">
        <f t="shared" si="1"/>
        <v>No answer given</v>
      </c>
      <c r="L66" s="412"/>
    </row>
    <row r="67" spans="1:12" ht="45" x14ac:dyDescent="0.25">
      <c r="A67" s="412"/>
      <c r="B67" s="620"/>
      <c r="C67" s="255" t="str">
        <f>Matrix!C20</f>
        <v>Increased and equitable share of revenues &amp; employment opportunities for local communities development</v>
      </c>
      <c r="D67" s="417" t="s">
        <v>223</v>
      </c>
      <c r="E67" s="409" t="str">
        <f>IF($E$37=0,"No answer given",VLOOKUP(C67,Matrix!$D$28:$M$44,MATCH('1 - Pre-screening Assessment'!$E$37,Matrix!$E$27:$M$27,0)+1,0))</f>
        <v>No answer given</v>
      </c>
      <c r="F67" s="409" t="e" cm="1">
        <f t="array" ref="F67">_xlfn.SWITCH(E67,"Low",1,"Medium",2,"Medium to High",2,"High",3)</f>
        <v>#N/A</v>
      </c>
      <c r="G67" s="409"/>
      <c r="H67" s="409"/>
      <c r="I67" s="409"/>
      <c r="J67" s="409" t="e">
        <f>IF(F67-(VLOOKUP(G67,Lists!$C$43:$D$82,2,0)+VLOOKUP(H67,Lists!$C$43:$D$82,2,0)+VLOOKUP(I67,Lists!$C$43:$D$82,2,0))&gt;1,F67-(VLOOKUP(G67,Lists!$C$43:$D$82,2,0)+VLOOKUP(H67,Lists!$C$43:$D$82,2,0)+VLOOKUP(I67,Lists!$C$43:$D$82,2,0)),1)</f>
        <v>#N/A</v>
      </c>
      <c r="K67" s="409" t="str">
        <f t="shared" si="1"/>
        <v>No answer given</v>
      </c>
      <c r="L67" s="412"/>
    </row>
    <row r="68" spans="1:12" ht="47.1" customHeight="1" x14ac:dyDescent="0.25">
      <c r="A68" s="412"/>
      <c r="B68" s="615" t="s">
        <v>426</v>
      </c>
      <c r="C68" s="615"/>
      <c r="D68" s="615"/>
      <c r="E68" s="615"/>
      <c r="F68" s="615"/>
      <c r="G68" s="615"/>
      <c r="H68" s="479" t="str">
        <f>IF(E37=Lists!$C$16,"Unacceptable as per criteria set by the Sustainable Biomass Guidelines",IF(COUNTIF(K51:K67,"No answer given")&gt;0,"No answer given",IF(OR(COUNTIF(K51:K67,"High")&gt;0,AND(E37=Lists!$D$13,K66="Medium")),"Unacceptable",IF(COUNTIF(K51:K67,"Medium")&gt;0,"Maybe acceptable upon implementation of the selected mitigation measures and further ones to cover High/Medium Risk indicators","Acceptable upon implementation of the selected mitigation measures"))))</f>
        <v>No answer given</v>
      </c>
      <c r="I68" s="479"/>
      <c r="J68" s="479"/>
      <c r="K68" s="479"/>
      <c r="L68" s="412"/>
    </row>
    <row r="69" spans="1:12" ht="15.75" x14ac:dyDescent="0.25">
      <c r="A69" s="412"/>
      <c r="B69" s="412"/>
      <c r="C69" s="412"/>
      <c r="D69" s="412"/>
      <c r="E69" s="412"/>
      <c r="F69" s="412"/>
      <c r="G69" s="412"/>
      <c r="H69" s="412"/>
      <c r="I69" s="412"/>
      <c r="J69" s="412"/>
      <c r="K69" s="412"/>
      <c r="L69" s="412"/>
    </row>
    <row r="70" spans="1:12" ht="15.75" x14ac:dyDescent="0.25">
      <c r="A70" s="412"/>
      <c r="B70" s="412"/>
      <c r="C70" s="412"/>
      <c r="D70" s="412"/>
      <c r="E70" s="412"/>
      <c r="F70" s="412"/>
      <c r="G70" s="412"/>
      <c r="H70" s="412"/>
      <c r="I70" s="412"/>
      <c r="J70" s="412"/>
      <c r="K70" s="412"/>
      <c r="L70" s="412"/>
    </row>
  </sheetData>
  <sheetProtection algorithmName="SHA-512" hashValue="BnQZWIKzoJgwR5ZRzBZNYNKnPhtW9AQiKvSd8rDfL0Ty13CsAFL55uoE3NSGKbLY9P4y6Q3ilzNraP7+TvUQxA==" saltValue="drzf/iLNBqklN6YUTg4FDQ==" spinCount="100000" sheet="1" objects="1" scenarios="1"/>
  <protectedRanges>
    <protectedRange sqref="G16:I32 G51:I67" name="Range1"/>
  </protectedRanges>
  <mergeCells count="51">
    <mergeCell ref="F14:F15"/>
    <mergeCell ref="G14:G15"/>
    <mergeCell ref="H14:H15"/>
    <mergeCell ref="E13:K13"/>
    <mergeCell ref="I14:I15"/>
    <mergeCell ref="E14:E15"/>
    <mergeCell ref="A1:L1"/>
    <mergeCell ref="G4:I4"/>
    <mergeCell ref="G6:I6"/>
    <mergeCell ref="G7:I7"/>
    <mergeCell ref="G8:I8"/>
    <mergeCell ref="G9:I9"/>
    <mergeCell ref="G10:I10"/>
    <mergeCell ref="G11:I11"/>
    <mergeCell ref="B13:B15"/>
    <mergeCell ref="G39:I39"/>
    <mergeCell ref="B31:B32"/>
    <mergeCell ref="B33:G33"/>
    <mergeCell ref="H33:K33"/>
    <mergeCell ref="B16:B18"/>
    <mergeCell ref="B19:B22"/>
    <mergeCell ref="B23:B25"/>
    <mergeCell ref="B26:B30"/>
    <mergeCell ref="J14:J15"/>
    <mergeCell ref="K14:K15"/>
    <mergeCell ref="C13:C15"/>
    <mergeCell ref="D13:D15"/>
    <mergeCell ref="G41:I41"/>
    <mergeCell ref="G42:I42"/>
    <mergeCell ref="G43:I43"/>
    <mergeCell ref="G44:I44"/>
    <mergeCell ref="G45:I45"/>
    <mergeCell ref="G46:I46"/>
    <mergeCell ref="B48:B50"/>
    <mergeCell ref="C48:C50"/>
    <mergeCell ref="D48:D50"/>
    <mergeCell ref="E48:K48"/>
    <mergeCell ref="E49:E50"/>
    <mergeCell ref="F49:F50"/>
    <mergeCell ref="G49:G50"/>
    <mergeCell ref="H49:H50"/>
    <mergeCell ref="I49:I50"/>
    <mergeCell ref="J49:J50"/>
    <mergeCell ref="K49:K50"/>
    <mergeCell ref="B68:G68"/>
    <mergeCell ref="H68:K68"/>
    <mergeCell ref="B51:B53"/>
    <mergeCell ref="B54:B57"/>
    <mergeCell ref="B58:B60"/>
    <mergeCell ref="B61:B65"/>
    <mergeCell ref="B66:B67"/>
  </mergeCells>
  <conditionalFormatting sqref="E16:E32 K16:K32">
    <cfRule type="containsText" dxfId="87" priority="7" operator="containsText" text="Not ">
      <formula>NOT(ISERROR(SEARCH("Not ",E16)))</formula>
    </cfRule>
    <cfRule type="containsText" dxfId="86" priority="8" operator="containsText" text="Low">
      <formula>NOT(ISERROR(SEARCH("Low",E16)))</formula>
    </cfRule>
    <cfRule type="containsText" dxfId="85" priority="9" operator="containsText" text="Medium">
      <formula>NOT(ISERROR(SEARCH("Medium",E16)))</formula>
    </cfRule>
    <cfRule type="containsText" dxfId="84" priority="10" operator="containsText" text="High">
      <formula>NOT(ISERROR(SEARCH("High",E16)))</formula>
    </cfRule>
  </conditionalFormatting>
  <conditionalFormatting sqref="E51:E67 K51:K67">
    <cfRule type="containsText" dxfId="83" priority="1" operator="containsText" text="Not ">
      <formula>NOT(ISERROR(SEARCH("Not ",E51)))</formula>
    </cfRule>
    <cfRule type="containsText" dxfId="82" priority="2" operator="containsText" text="Low">
      <formula>NOT(ISERROR(SEARCH("Low",E51)))</formula>
    </cfRule>
    <cfRule type="containsText" dxfId="81" priority="3" operator="containsText" text="Medium">
      <formula>NOT(ISERROR(SEARCH("Medium",E51)))</formula>
    </cfRule>
    <cfRule type="containsText" dxfId="80" priority="4" operator="containsText" text="High">
      <formula>NOT(ISERROR(SEARCH("High",E51)))</formula>
    </cfRule>
  </conditionalFormatting>
  <conditionalFormatting sqref="G16:I32">
    <cfRule type="duplicateValues" dxfId="79" priority="165"/>
  </conditionalFormatting>
  <conditionalFormatting sqref="G51:I67">
    <cfRule type="duplicateValues" dxfId="78" priority="5"/>
  </conditionalFormatting>
  <dataValidations count="3">
    <dataValidation type="list" allowBlank="1" showInputMessage="1" showErrorMessage="1" sqref="G16:G32 G51:G67" xr:uid="{ED1A3C19-74DE-49E2-88FE-8AFC26E663B5}">
      <formula1>INDIRECT(D16)</formula1>
    </dataValidation>
    <dataValidation type="list" allowBlank="1" showInputMessage="1" showErrorMessage="1" sqref="H16:H32 H51:H67" xr:uid="{FB9DD82F-C5F2-4E9E-B05D-D11BE4177C94}">
      <formula1>INDIRECT(D16)</formula1>
    </dataValidation>
    <dataValidation type="list" allowBlank="1" showInputMessage="1" showErrorMessage="1" sqref="I16:I32 I51:I67" xr:uid="{35D22208-0AA2-4937-AA30-8320591020DB}">
      <formula1>INDIRECT(D16)</formula1>
    </dataValidation>
  </dataValidations>
  <pageMargins left="0.7" right="0.7" top="0.75" bottom="0.75" header="0.3" footer="0.3"/>
  <pageSetup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FCE3F-B851-4483-9674-890450CA85E9}">
  <sheetPr>
    <tabColor theme="4" tint="-0.249977111117893"/>
  </sheetPr>
  <dimension ref="A1:W40"/>
  <sheetViews>
    <sheetView showGridLines="0" zoomScale="40" zoomScaleNormal="40" workbookViewId="0">
      <pane xSplit="4" ySplit="4" topLeftCell="E5" activePane="bottomRight" state="frozen"/>
      <selection pane="topRight" activeCell="E1" sqref="E1"/>
      <selection pane="bottomLeft" activeCell="A5" sqref="A5"/>
      <selection pane="bottomRight" activeCell="H7" sqref="H6:H7"/>
    </sheetView>
  </sheetViews>
  <sheetFormatPr defaultColWidth="8.7109375" defaultRowHeight="12.75" x14ac:dyDescent="0.2"/>
  <cols>
    <col min="1" max="1" width="19.5703125" style="2" customWidth="1"/>
    <col min="2" max="2" width="34.140625" style="2" customWidth="1"/>
    <col min="3" max="3" width="23.5703125" style="2" customWidth="1"/>
    <col min="4" max="4" width="9.85546875" style="26" customWidth="1"/>
    <col min="5" max="5" width="49.28515625" style="2" customWidth="1"/>
    <col min="6" max="6" width="70.5703125" style="2" customWidth="1"/>
    <col min="7" max="7" width="11.42578125" style="2" hidden="1" customWidth="1"/>
    <col min="8" max="8" width="18.85546875" style="2" customWidth="1"/>
    <col min="9" max="9" width="13.7109375" style="2" hidden="1" customWidth="1"/>
    <col min="10" max="11" width="16.28515625" style="2" hidden="1" customWidth="1"/>
    <col min="12" max="13" width="11.85546875" style="2" hidden="1" customWidth="1"/>
    <col min="14" max="14" width="17.85546875" style="2" customWidth="1"/>
    <col min="15" max="15" width="19" style="27" customWidth="1"/>
    <col min="16" max="16" width="53.42578125" style="27" hidden="1" customWidth="1"/>
    <col min="17" max="17" width="53.42578125" style="27" customWidth="1"/>
    <col min="18" max="18" width="92.5703125" style="2" customWidth="1"/>
    <col min="19" max="19" width="35.42578125" style="2" customWidth="1"/>
    <col min="20" max="20" width="67.85546875" style="2" customWidth="1"/>
    <col min="21" max="21" width="6.85546875" style="2" hidden="1" customWidth="1"/>
    <col min="22" max="22" width="5.7109375" style="2" hidden="1" customWidth="1"/>
    <col min="23" max="23" width="8.7109375" style="2" customWidth="1"/>
    <col min="24" max="16384" width="8.7109375" style="2"/>
  </cols>
  <sheetData>
    <row r="1" spans="1:23" ht="30.95" customHeight="1" x14ac:dyDescent="0.2">
      <c r="A1" s="540" t="s">
        <v>434</v>
      </c>
      <c r="B1" s="540"/>
      <c r="C1" s="540"/>
      <c r="D1" s="540"/>
      <c r="E1" s="540"/>
      <c r="F1" s="540"/>
      <c r="G1" s="540"/>
      <c r="H1" s="540"/>
      <c r="I1" s="540"/>
      <c r="J1" s="540"/>
      <c r="K1" s="540"/>
      <c r="L1" s="540"/>
      <c r="M1" s="540"/>
      <c r="N1" s="540"/>
      <c r="O1" s="540"/>
      <c r="P1" s="540"/>
      <c r="Q1" s="540"/>
      <c r="R1" s="540"/>
      <c r="S1" s="540"/>
      <c r="T1" s="540"/>
      <c r="U1" s="1"/>
      <c r="V1" s="1"/>
      <c r="W1" s="1"/>
    </row>
    <row r="2" spans="1:23" ht="45.6" customHeight="1" x14ac:dyDescent="0.2">
      <c r="A2" s="540"/>
      <c r="B2" s="540"/>
      <c r="C2" s="540"/>
      <c r="D2" s="540"/>
      <c r="E2" s="540"/>
      <c r="F2" s="540"/>
      <c r="G2" s="540"/>
      <c r="H2" s="540"/>
      <c r="I2" s="540"/>
      <c r="J2" s="540"/>
      <c r="K2" s="540"/>
      <c r="L2" s="540"/>
      <c r="M2" s="540"/>
      <c r="N2" s="540"/>
      <c r="O2" s="540"/>
      <c r="P2" s="540"/>
      <c r="Q2" s="540"/>
      <c r="R2" s="540"/>
      <c r="S2" s="540"/>
      <c r="T2" s="540"/>
      <c r="U2" s="1"/>
      <c r="V2" s="1"/>
      <c r="W2" s="1"/>
    </row>
    <row r="3" spans="1:23" ht="63" customHeight="1" x14ac:dyDescent="0.2">
      <c r="A3" s="1"/>
      <c r="B3" s="667" t="s">
        <v>244</v>
      </c>
      <c r="C3" s="667"/>
      <c r="D3" s="667"/>
      <c r="E3" s="194">
        <f>Overview!D16</f>
        <v>0</v>
      </c>
      <c r="F3" s="194">
        <f>Overview!D17</f>
        <v>0</v>
      </c>
      <c r="G3" s="1"/>
      <c r="H3" s="191" t="s">
        <v>388</v>
      </c>
      <c r="I3" s="1"/>
      <c r="J3" s="1"/>
      <c r="K3" s="1"/>
      <c r="L3" s="1"/>
      <c r="M3" s="1"/>
      <c r="N3" s="675" t="s">
        <v>389</v>
      </c>
      <c r="O3" s="676"/>
      <c r="P3" s="676"/>
      <c r="Q3" s="676"/>
      <c r="R3" s="677"/>
      <c r="S3" s="244"/>
      <c r="T3" s="1"/>
      <c r="U3" s="172" t="s">
        <v>294</v>
      </c>
      <c r="V3" s="172">
        <v>3</v>
      </c>
      <c r="W3" s="1"/>
    </row>
    <row r="4" spans="1:23" ht="65.45" customHeight="1" x14ac:dyDescent="0.2">
      <c r="A4" s="91" t="s">
        <v>277</v>
      </c>
      <c r="B4" s="91" t="s">
        <v>278</v>
      </c>
      <c r="C4" s="97" t="s">
        <v>390</v>
      </c>
      <c r="D4" s="97" t="s">
        <v>13</v>
      </c>
      <c r="E4" s="542" t="s">
        <v>14</v>
      </c>
      <c r="F4" s="543"/>
      <c r="G4" s="91" t="s">
        <v>279</v>
      </c>
      <c r="H4" s="91" t="s">
        <v>15</v>
      </c>
      <c r="I4" s="91" t="s">
        <v>280</v>
      </c>
      <c r="J4" s="91" t="s">
        <v>391</v>
      </c>
      <c r="K4" s="91" t="s">
        <v>392</v>
      </c>
      <c r="L4" s="91" t="s">
        <v>393</v>
      </c>
      <c r="M4" s="91" t="s">
        <v>394</v>
      </c>
      <c r="N4" s="91" t="s">
        <v>395</v>
      </c>
      <c r="O4" s="91" t="s">
        <v>396</v>
      </c>
      <c r="P4" s="91" t="s">
        <v>397</v>
      </c>
      <c r="Q4" s="97" t="s">
        <v>284</v>
      </c>
      <c r="R4" s="91" t="s">
        <v>54</v>
      </c>
      <c r="S4" s="190" t="s">
        <v>537</v>
      </c>
      <c r="T4" s="190" t="s">
        <v>285</v>
      </c>
      <c r="U4" s="173" t="s">
        <v>295</v>
      </c>
      <c r="V4" s="172">
        <v>2</v>
      </c>
      <c r="W4" s="1"/>
    </row>
    <row r="5" spans="1:23" ht="147" customHeight="1" x14ac:dyDescent="0.2">
      <c r="A5" s="678" t="s">
        <v>286</v>
      </c>
      <c r="B5" s="256" t="str">
        <f>Matrix!C4</f>
        <v>Greenhouse gas (GHG) emissions from biomass production, transportation and storage (upstream)</v>
      </c>
      <c r="C5" s="257" t="str">
        <f>IF($E$3=0,"No answer given",IF((VLOOKUP(B5,Matrix!$C$4:$M$20,MATCH($E$3,Matrix!$I$3:$M$3,0)+6,0))="x","Yes","No"))</f>
        <v>No answer given</v>
      </c>
      <c r="D5" s="258">
        <v>1</v>
      </c>
      <c r="E5" s="634" t="s">
        <v>551</v>
      </c>
      <c r="F5" s="635"/>
      <c r="G5" s="259"/>
      <c r="H5" s="423" t="str">
        <f>VLOOKUP(B5,'1 - Pre-screening Assessment'!$C$16:$E$32,3,0)</f>
        <v>No answer given</v>
      </c>
      <c r="I5" s="58" cm="1">
        <f t="array" ref="I5">_xlfn.SWITCH(H5,"Low",1,"Medium",2,"High",3,"No answer given",0)</f>
        <v>0</v>
      </c>
      <c r="J5" s="58">
        <f t="shared" ref="J5:J8" si="0">I5</f>
        <v>0</v>
      </c>
      <c r="K5" s="58">
        <f>J5</f>
        <v>0</v>
      </c>
      <c r="L5" s="58">
        <v>3</v>
      </c>
      <c r="M5" s="58">
        <v>3</v>
      </c>
      <c r="N5" s="257" t="str">
        <f>IF(OR(C5="Yes",C5="No answer given"),H5,"N/A")</f>
        <v>No answer given</v>
      </c>
      <c r="O5" s="681" t="str">
        <f>IF(COUNTIF(N5:N8,"No answer given")&gt;0,"No answer given",IF(N8&lt;&gt;"High",IF(SUM(K5:K8)&lt;=(SUM(M5:M8)/3),"Low Risk",IF(SUM(K5:K8)&gt;(SUM(M5:M8)*2/3),"High Risk","Medium Risk")),"High Risk"))</f>
        <v>No answer given</v>
      </c>
      <c r="P5" s="259"/>
      <c r="Q5" s="260"/>
      <c r="R5" s="261" t="s">
        <v>398</v>
      </c>
      <c r="S5" s="259"/>
      <c r="T5" s="259" t="s">
        <v>600</v>
      </c>
      <c r="U5" s="179" t="s">
        <v>296</v>
      </c>
      <c r="V5" s="173">
        <v>1</v>
      </c>
      <c r="W5" s="1"/>
    </row>
    <row r="6" spans="1:23" ht="115.5" customHeight="1" x14ac:dyDescent="0.2">
      <c r="A6" s="679"/>
      <c r="B6" s="670" t="str">
        <f>Matrix!C5</f>
        <v>GHG emissions from biomass utilization (combustion)</v>
      </c>
      <c r="C6" s="655" t="str">
        <f>IF($E$3=0,"No answer given",IF((VLOOKUP(B6,Matrix!$C$4:$M$20,MATCH($E$3,Matrix!$I$3:$M$3,0)+6,0))="x","Yes","No"))</f>
        <v>No answer given</v>
      </c>
      <c r="D6" s="262">
        <v>2</v>
      </c>
      <c r="E6" s="259" t="s">
        <v>297</v>
      </c>
      <c r="F6" s="263" t="s">
        <v>659</v>
      </c>
      <c r="G6" s="264"/>
      <c r="H6" s="265"/>
      <c r="I6" s="58" cm="1">
        <f t="array" ref="I6">IF(ISBLANK(H6),0,_xlfn.SWITCH(H6,"A",2,"D",2,"B",1,"C",0))</f>
        <v>0</v>
      </c>
      <c r="J6" s="61">
        <f t="shared" si="0"/>
        <v>0</v>
      </c>
      <c r="K6" s="583">
        <f>IF(C6="Yes",SUM(J6:J7),SUM(J6:J7)*0)</f>
        <v>0</v>
      </c>
      <c r="L6" s="134">
        <v>2</v>
      </c>
      <c r="M6" s="672">
        <f>IF(C6="Yes",SUM(L6:L7),SUM(L6:L7)*0)</f>
        <v>0</v>
      </c>
      <c r="N6" s="673" t="str" cm="1">
        <f t="array" ref="N6">IF(C6="Yes",IF(OR(ISBLANK(H6:H7)),"No answer given",IF(SUM(J6:J7)&lt;=(SUM(L6:L7)/3),"Low",IF(SUM(J6:J7)&gt;(SUM(L6:L7)*2/3),"High","Medium"))),IF(C6="No","N/A","No answer given"))</f>
        <v>No answer given</v>
      </c>
      <c r="O6" s="682"/>
      <c r="P6" s="266" t="s">
        <v>299</v>
      </c>
      <c r="Q6" s="267"/>
      <c r="R6" s="261" t="s">
        <v>398</v>
      </c>
      <c r="S6" s="261"/>
      <c r="T6" s="638" t="s">
        <v>601</v>
      </c>
      <c r="U6" s="180" t="s">
        <v>302</v>
      </c>
      <c r="V6" s="173">
        <v>0</v>
      </c>
      <c r="W6" s="1"/>
    </row>
    <row r="7" spans="1:23" ht="190.5" customHeight="1" x14ac:dyDescent="0.2">
      <c r="A7" s="679"/>
      <c r="B7" s="671"/>
      <c r="C7" s="656"/>
      <c r="D7" s="271">
        <v>3</v>
      </c>
      <c r="E7" s="259" t="s">
        <v>399</v>
      </c>
      <c r="F7" s="272" t="s">
        <v>436</v>
      </c>
      <c r="G7" s="266"/>
      <c r="H7" s="265"/>
      <c r="I7" s="58" cm="1">
        <f t="array" ref="I7">IF(ISBLANK(H7),0,_xlfn.SWITCH(H7,"A",1,"C",1,"B",0))</f>
        <v>0</v>
      </c>
      <c r="J7" s="61">
        <f t="shared" si="0"/>
        <v>0</v>
      </c>
      <c r="K7" s="585"/>
      <c r="L7" s="134">
        <v>1</v>
      </c>
      <c r="M7" s="557"/>
      <c r="N7" s="674"/>
      <c r="O7" s="682"/>
      <c r="P7" s="266"/>
      <c r="Q7" s="267"/>
      <c r="R7" s="261" t="s">
        <v>660</v>
      </c>
      <c r="S7" s="273" t="s">
        <v>538</v>
      </c>
      <c r="T7" s="638"/>
      <c r="U7" s="209" t="s">
        <v>502</v>
      </c>
      <c r="V7" s="57"/>
      <c r="W7" s="1"/>
    </row>
    <row r="8" spans="1:23" ht="408" customHeight="1" x14ac:dyDescent="0.2">
      <c r="A8" s="680"/>
      <c r="B8" s="269" t="str">
        <f>Matrix!C6</f>
        <v>Impact on carbon sinks (such as deforestation)</v>
      </c>
      <c r="C8" s="274" t="str">
        <f>IF($E$3=0,"No answer given",IF((VLOOKUP(B8,Matrix!$C$4:$M$20,MATCH($E$3,Matrix!$I$3:$M$3,0)+6,0))="x","Yes","No"))</f>
        <v>No answer given</v>
      </c>
      <c r="D8" s="271">
        <v>4</v>
      </c>
      <c r="E8" s="275" t="s">
        <v>400</v>
      </c>
      <c r="F8" s="272" t="s">
        <v>476</v>
      </c>
      <c r="G8" s="276"/>
      <c r="H8" s="265"/>
      <c r="I8" s="58" cm="1">
        <f t="array" ref="I8">IF(ISBLANK(H8),0,_xlfn.SWITCH(H8,"A",3,"D",3,"B",2,"C",1))</f>
        <v>0</v>
      </c>
      <c r="J8" s="99">
        <f t="shared" si="0"/>
        <v>0</v>
      </c>
      <c r="K8" s="99">
        <f t="shared" ref="K8:K18" si="1">IF(C8="Yes",SUM(J8),SUM(J8)*0)</f>
        <v>0</v>
      </c>
      <c r="L8" s="134">
        <v>3</v>
      </c>
      <c r="M8" s="134">
        <f>IF(C8="Yes",SUM(L8),SUM(L8)*0)</f>
        <v>0</v>
      </c>
      <c r="N8" s="203" t="str">
        <f>IF(C8="Yes",IF(ISBLANK(H8),"No answer given",IF(J8&lt;=SUM(L8)/3,"Low",IF(SUM(J8)&gt;(SUM(L8)*2/3),"High","Medium"))),IF(C8="No","N/A","No answer given"))</f>
        <v>No answer given</v>
      </c>
      <c r="O8" s="682"/>
      <c r="P8" s="277" t="s">
        <v>308</v>
      </c>
      <c r="Q8" s="278"/>
      <c r="R8" s="261" t="s">
        <v>661</v>
      </c>
      <c r="S8" s="273" t="s">
        <v>67</v>
      </c>
      <c r="T8" s="268" t="s">
        <v>602</v>
      </c>
      <c r="U8" s="57" t="s">
        <v>290</v>
      </c>
      <c r="V8" s="57" t="s">
        <v>290</v>
      </c>
      <c r="W8" s="1"/>
    </row>
    <row r="9" spans="1:23" ht="346.5" customHeight="1" x14ac:dyDescent="0.2">
      <c r="A9" s="279" t="s">
        <v>437</v>
      </c>
      <c r="B9" s="280" t="str">
        <f>Matrix!C7</f>
        <v>Loss of natural habitats causing loss of biodiversity (such as deforestation) from land-use change (LUC) and indirect land-use change (ILUC)</v>
      </c>
      <c r="C9" s="274" t="str">
        <f>IF($E$3=0,"No answer given",IF((VLOOKUP(B9,Matrix!$C$4:$M$20,MATCH($E$3,Matrix!$I$3:$M$3,0)+6,0))="x","Yes","No"))</f>
        <v>No answer given</v>
      </c>
      <c r="D9" s="271">
        <v>5</v>
      </c>
      <c r="E9" s="275" t="s">
        <v>401</v>
      </c>
      <c r="F9" s="281" t="s">
        <v>477</v>
      </c>
      <c r="G9" s="282"/>
      <c r="H9" s="265"/>
      <c r="I9" s="58" cm="1">
        <f t="array" ref="I9">IF(ISBLANK(H9),0,_xlfn.SWITCH(H9,"A",3,"D",3,"B",2,"C",1))</f>
        <v>0</v>
      </c>
      <c r="J9" s="99">
        <f>I9</f>
        <v>0</v>
      </c>
      <c r="K9" s="99">
        <f t="shared" si="1"/>
        <v>0</v>
      </c>
      <c r="L9" s="135">
        <v>3</v>
      </c>
      <c r="M9" s="134">
        <f>IF(C9="Yes",SUM(L9),SUM(L9)*0)</f>
        <v>0</v>
      </c>
      <c r="N9" s="203" t="str">
        <f t="shared" ref="N9:N10" si="2">IF(C9="Yes",IF(ISBLANK(H9),"No answer given",IF(J9&lt;=SUM(L9)/3,"Low",IF(SUM(J9)&gt;(SUM(L9)*2/3),"High","Medium"))),IF(C9="No","N/A","No answer given"))</f>
        <v>No answer given</v>
      </c>
      <c r="O9" s="639" t="str">
        <f>IF(COUNTIF(N9:N12,"No answer given")&gt;0,"No answer given",IF(N9&lt;&gt;"High",(IF(SUM(K9:K12)&lt;=(SUM(M9:M12)/3),"Low Risk",IF(SUM(K9:K12)&gt;(SUM(M9:M12)*2/3),"High Risk","Medium Risk"))),"High Risk"))</f>
        <v>No answer given</v>
      </c>
      <c r="P9" s="283" t="s">
        <v>662</v>
      </c>
      <c r="Q9" s="284"/>
      <c r="R9" s="261" t="s">
        <v>554</v>
      </c>
      <c r="S9" s="273" t="s">
        <v>543</v>
      </c>
      <c r="T9" s="275" t="s">
        <v>603</v>
      </c>
      <c r="U9" s="51" t="s">
        <v>289</v>
      </c>
      <c r="V9" s="51" t="s">
        <v>402</v>
      </c>
      <c r="W9" s="1"/>
    </row>
    <row r="10" spans="1:23" ht="316.5" customHeight="1" x14ac:dyDescent="0.2">
      <c r="A10" s="285"/>
      <c r="B10" s="286" t="str">
        <f>Matrix!C8</f>
        <v>Loss of biodiversity due to increased use of chemicals (pesticides, herbicides, etc.)</v>
      </c>
      <c r="C10" s="274" t="str">
        <f>IF($E$3=0,"No answer given",IF((VLOOKUP(B10,Matrix!$C$4:$M$20,MATCH($E$3,Matrix!$I$3:$M$3,0)+6,0))="x","Yes","No"))</f>
        <v>No answer given</v>
      </c>
      <c r="D10" s="271">
        <v>6</v>
      </c>
      <c r="E10" s="275" t="s">
        <v>316</v>
      </c>
      <c r="F10" s="261" t="s">
        <v>623</v>
      </c>
      <c r="G10" s="261"/>
      <c r="H10" s="265"/>
      <c r="I10" s="58" cm="1">
        <f t="array" ref="I10">IF(ISBLANK(H10),0,_xlfn.SWITCH(H10,"A",3,"E",3,"B",2,"C",1,"D",0))</f>
        <v>0</v>
      </c>
      <c r="J10" s="99">
        <f t="shared" ref="J10:J16" si="3">I10</f>
        <v>0</v>
      </c>
      <c r="K10" s="99">
        <f t="shared" si="1"/>
        <v>0</v>
      </c>
      <c r="L10" s="135">
        <v>3</v>
      </c>
      <c r="M10" s="134">
        <f>IF(C10="Yes",SUM(L10),SUM(L10)*0)</f>
        <v>0</v>
      </c>
      <c r="N10" s="203" t="str">
        <f t="shared" si="2"/>
        <v>No answer given</v>
      </c>
      <c r="O10" s="639"/>
      <c r="P10" s="283" t="s">
        <v>318</v>
      </c>
      <c r="Q10" s="284"/>
      <c r="R10" s="261" t="s">
        <v>553</v>
      </c>
      <c r="S10" s="273" t="s">
        <v>539</v>
      </c>
      <c r="T10" s="275" t="s">
        <v>604</v>
      </c>
      <c r="U10" s="51" t="s">
        <v>403</v>
      </c>
      <c r="V10" s="51" t="s">
        <v>289</v>
      </c>
      <c r="W10" s="1"/>
    </row>
    <row r="11" spans="1:23" ht="177.75" customHeight="1" x14ac:dyDescent="0.2">
      <c r="A11" s="287"/>
      <c r="B11" s="286" t="str">
        <f>Matrix!C9</f>
        <v>Water consumption for biomass production</v>
      </c>
      <c r="C11" s="274" t="str">
        <f>IF($E$3=0,"No answer given",IF((VLOOKUP(B11,Matrix!$C$4:$M$20,MATCH($E$3,Matrix!$I$3:$M$3,0)+6,0))="x","Yes","No"))</f>
        <v>No answer given</v>
      </c>
      <c r="D11" s="271">
        <v>7</v>
      </c>
      <c r="E11" s="275" t="s">
        <v>404</v>
      </c>
      <c r="F11" s="288" t="s">
        <v>546</v>
      </c>
      <c r="G11" s="266"/>
      <c r="H11" s="265"/>
      <c r="I11" s="289" cm="1">
        <f t="array" ref="I11">IF(ISBLANK(H11),0,_xlfn.SWITCH(H11,"A",3,"E",3,"B",2,"C",1,"D",0))</f>
        <v>0</v>
      </c>
      <c r="J11" s="61">
        <f t="shared" si="3"/>
        <v>0</v>
      </c>
      <c r="K11" s="99">
        <f t="shared" si="1"/>
        <v>0</v>
      </c>
      <c r="L11" s="135">
        <v>3</v>
      </c>
      <c r="M11" s="134">
        <f>IF(C11="Yes",SUM(L11),SUM(L11)*0)</f>
        <v>0</v>
      </c>
      <c r="N11" s="203" t="str">
        <f>IF(C11="Yes",IF(ISBLANK(H11),"No answer given",IF(J11&lt;=SUM(L11)/3,"Low",IF(SUM(J11)&gt;(SUM(L11)*2/3),"High","Medium"))),IF(C11="No","N/A","No answer given"))</f>
        <v>No answer given</v>
      </c>
      <c r="O11" s="639"/>
      <c r="P11" s="283"/>
      <c r="Q11" s="284"/>
      <c r="R11" s="261" t="s">
        <v>555</v>
      </c>
      <c r="S11" s="273" t="s">
        <v>80</v>
      </c>
      <c r="T11" s="275" t="s">
        <v>605</v>
      </c>
      <c r="U11" s="51"/>
      <c r="V11" s="51" t="s">
        <v>403</v>
      </c>
      <c r="W11" s="1"/>
    </row>
    <row r="12" spans="1:23" ht="163.5" customHeight="1" x14ac:dyDescent="0.2">
      <c r="A12" s="287"/>
      <c r="B12" s="290" t="str">
        <f>Matrix!C10</f>
        <v>Water &amp; soil contamination</v>
      </c>
      <c r="C12" s="274" t="str">
        <f>IF($E$3=0,"No answer given",IF((VLOOKUP(B12,Matrix!$C$4:$M$20,MATCH($E$3,Matrix!$I$3:$M$3,0)+6,0))="x","Yes","No"))</f>
        <v>No answer given</v>
      </c>
      <c r="D12" s="291">
        <v>8</v>
      </c>
      <c r="E12" s="634" t="s">
        <v>551</v>
      </c>
      <c r="F12" s="635"/>
      <c r="G12" s="266"/>
      <c r="H12" s="423" t="str">
        <f>VLOOKUP(B12,'1 - Pre-screening Assessment'!$C$16:$E$32,3,0)</f>
        <v>No answer given</v>
      </c>
      <c r="I12" s="58" cm="1">
        <f t="array" ref="I12">_xlfn.SWITCH(H12,"Low",1,"Medium",2,"High",3,"No answer given",0)</f>
        <v>0</v>
      </c>
      <c r="J12" s="58">
        <f t="shared" si="3"/>
        <v>0</v>
      </c>
      <c r="K12" s="58">
        <f>J12</f>
        <v>0</v>
      </c>
      <c r="L12" s="58">
        <v>3</v>
      </c>
      <c r="M12" s="58">
        <v>3</v>
      </c>
      <c r="N12" s="257" t="str">
        <f>IF(OR(C12="Yes",C12="No answer given"),H12,"N/A")</f>
        <v>No answer given</v>
      </c>
      <c r="O12" s="639"/>
      <c r="P12" s="283"/>
      <c r="Q12" s="284"/>
      <c r="R12" s="261" t="s">
        <v>398</v>
      </c>
      <c r="S12" s="261"/>
      <c r="T12" s="275" t="s">
        <v>606</v>
      </c>
      <c r="U12" s="51"/>
      <c r="V12" s="51"/>
      <c r="W12" s="1"/>
    </row>
    <row r="13" spans="1:23" ht="194.25" customHeight="1" x14ac:dyDescent="0.2">
      <c r="A13" s="631" t="s">
        <v>271</v>
      </c>
      <c r="B13" s="292" t="str">
        <f>Matrix!C11</f>
        <v>Open field burning of agricultural waste and wildfires</v>
      </c>
      <c r="C13" s="274" t="str">
        <f>IF($E$3=0,"No answer given",IF((VLOOKUP(B13,Matrix!$C$4:$M$20,MATCH($E$3,Matrix!$I$3:$M$3,0)+6,0))="x","Yes","No"))</f>
        <v>No answer given</v>
      </c>
      <c r="D13" s="271">
        <v>9</v>
      </c>
      <c r="E13" s="275" t="s">
        <v>663</v>
      </c>
      <c r="F13" s="266" t="s">
        <v>478</v>
      </c>
      <c r="G13" s="266" t="s">
        <v>289</v>
      </c>
      <c r="H13" s="265"/>
      <c r="I13" s="58">
        <f>IF(ISBLANK(H13),0,IF(H13=G13,0,2))</f>
        <v>0</v>
      </c>
      <c r="J13" s="62">
        <f t="shared" si="3"/>
        <v>0</v>
      </c>
      <c r="K13" s="61">
        <f t="shared" ref="K13" si="4">IF(C13="Yes",SUM(J13),SUM(J13)*0)</f>
        <v>0</v>
      </c>
      <c r="L13" s="239">
        <v>2</v>
      </c>
      <c r="M13" s="135">
        <f t="shared" ref="M13" si="5">IF(C13="Yes",SUM(L13),SUM(L13)*0)</f>
        <v>0</v>
      </c>
      <c r="N13" s="203" t="str">
        <f>IF(C13="Yes",IF(ISBLANK(H13),"No answer given",IF(J13&lt;=SUM(L13)/3,"Low",IF(SUM(J13)&gt;(SUM(L13)*2/3),"High","Medium"))),IF(C13="No","N/A","No answer given"))</f>
        <v>No answer given</v>
      </c>
      <c r="O13" s="681" t="str">
        <f>IF(COUNTIF(N13:N15,"No answer given")&gt;0,"No answer given",IF(SUM(K13:K15)&lt;=(SUM(M13:M15)/3),"Low Risk",IF(SUM(K13:K15)&gt;(SUM(M13:M15)*2/3),"High Risk","Medium Risk")))</f>
        <v>No answer given</v>
      </c>
      <c r="P13" s="266" t="s">
        <v>334</v>
      </c>
      <c r="Q13" s="267"/>
      <c r="R13" s="261"/>
      <c r="S13" s="261"/>
      <c r="T13" s="268" t="s">
        <v>664</v>
      </c>
      <c r="U13" s="51"/>
      <c r="V13" s="51"/>
      <c r="W13" s="1"/>
    </row>
    <row r="14" spans="1:23" ht="176.25" customHeight="1" x14ac:dyDescent="0.2">
      <c r="A14" s="632"/>
      <c r="B14" s="290" t="str">
        <f>Matrix!C12</f>
        <v>Air contaminants emissions during production processes</v>
      </c>
      <c r="C14" s="274" t="str">
        <f>IF($E$3=0,"No answer given",IF((VLOOKUP(B14,Matrix!$C$4:$M$20,MATCH($E$3,Matrix!$I$3:$M$3,0)+6,0))="x","Yes","No"))</f>
        <v>No answer given</v>
      </c>
      <c r="D14" s="291">
        <v>10</v>
      </c>
      <c r="E14" s="634" t="s">
        <v>551</v>
      </c>
      <c r="F14" s="635"/>
      <c r="G14" s="266"/>
      <c r="H14" s="423" t="str">
        <f>VLOOKUP(B14,'1 - Pre-screening Assessment'!$C$16:$E$32,3,0)</f>
        <v>No answer given</v>
      </c>
      <c r="I14" s="58" cm="1">
        <f t="array" ref="I14">_xlfn.SWITCH(H14,"Low",1,"Medium",2,"High",3,"No answer given",0)</f>
        <v>0</v>
      </c>
      <c r="J14" s="58">
        <f t="shared" si="3"/>
        <v>0</v>
      </c>
      <c r="K14" s="58">
        <f>J14</f>
        <v>0</v>
      </c>
      <c r="L14" s="58">
        <v>3</v>
      </c>
      <c r="M14" s="58">
        <v>3</v>
      </c>
      <c r="N14" s="257" t="str">
        <f>IF(OR(C14="Yes",C14="No answer given"),H14,"N/A")</f>
        <v>No answer given</v>
      </c>
      <c r="O14" s="682"/>
      <c r="P14" s="266"/>
      <c r="Q14" s="267"/>
      <c r="R14" s="261" t="s">
        <v>665</v>
      </c>
      <c r="S14" s="261"/>
      <c r="T14" s="275" t="s">
        <v>607</v>
      </c>
      <c r="U14" s="1"/>
      <c r="V14" s="1"/>
      <c r="W14" s="1"/>
    </row>
    <row r="15" spans="1:23" ht="108" customHeight="1" x14ac:dyDescent="0.2">
      <c r="A15" s="633"/>
      <c r="B15" s="290" t="str">
        <f>Matrix!C13</f>
        <v>Air contaminants emissions from biomass combustion</v>
      </c>
      <c r="C15" s="274" t="str">
        <f>IF($E$3=0,"No answer given",IF((VLOOKUP(B15,Matrix!$C$4:$M$20,MATCH($E$3,Matrix!$I$3:$M$3,0)+6,0))="x","Yes","No"))</f>
        <v>No answer given</v>
      </c>
      <c r="D15" s="291">
        <v>11</v>
      </c>
      <c r="E15" s="634" t="s">
        <v>551</v>
      </c>
      <c r="F15" s="635"/>
      <c r="G15" s="266"/>
      <c r="H15" s="423" t="str">
        <f>VLOOKUP(B15,'1 - Pre-screening Assessment'!$C$16:$E$32,3,0)</f>
        <v>No answer given</v>
      </c>
      <c r="I15" s="58" cm="1">
        <f t="array" ref="I15">_xlfn.SWITCH(H15,"Low",1,"Medium",2,"High",3,"No answer given",0)</f>
        <v>0</v>
      </c>
      <c r="J15" s="58">
        <f t="shared" si="3"/>
        <v>0</v>
      </c>
      <c r="K15" s="58">
        <f>J15</f>
        <v>0</v>
      </c>
      <c r="L15" s="58">
        <v>3</v>
      </c>
      <c r="M15" s="58">
        <v>3</v>
      </c>
      <c r="N15" s="257" t="str">
        <f>IF(OR(C15="Yes",C15="No answer given"),H15,"N/A")</f>
        <v>No answer given</v>
      </c>
      <c r="O15" s="683"/>
      <c r="P15" s="266"/>
      <c r="Q15" s="267"/>
      <c r="R15" s="261" t="s">
        <v>665</v>
      </c>
      <c r="S15" s="261"/>
      <c r="T15" s="275" t="s">
        <v>487</v>
      </c>
      <c r="U15" s="51"/>
      <c r="V15" s="51"/>
      <c r="W15" s="1"/>
    </row>
    <row r="16" spans="1:23" ht="257.25" customHeight="1" x14ac:dyDescent="0.3">
      <c r="A16" s="668" t="s">
        <v>406</v>
      </c>
      <c r="B16" s="294" t="str">
        <f>Matrix!C14</f>
        <v>Land rights</v>
      </c>
      <c r="C16" s="274" t="str">
        <f>IF($E$3=0,"No answer given",IF((VLOOKUP(B16,Matrix!$C$4:$M$20,MATCH($E$3,Matrix!$I$3:$M$3,0)+6,0))="x","Yes","No"))</f>
        <v>No answer given</v>
      </c>
      <c r="D16" s="271">
        <v>12</v>
      </c>
      <c r="E16" s="275" t="s">
        <v>666</v>
      </c>
      <c r="F16" s="295" t="s">
        <v>478</v>
      </c>
      <c r="G16" s="266" t="s">
        <v>289</v>
      </c>
      <c r="H16" s="265"/>
      <c r="I16" s="58">
        <f>IF(ISBLANK(H16),0,IF(H16=G16,0,2))</f>
        <v>0</v>
      </c>
      <c r="J16" s="198">
        <f t="shared" si="3"/>
        <v>0</v>
      </c>
      <c r="K16" s="99">
        <f t="shared" si="1"/>
        <v>0</v>
      </c>
      <c r="L16" s="231">
        <v>2</v>
      </c>
      <c r="M16" s="135">
        <f t="shared" ref="M16" si="6">IF(C16="Yes",SUM(L16),SUM(L16)*0)</f>
        <v>0</v>
      </c>
      <c r="N16" s="203" t="str">
        <f>IF(C16="Yes",IF(ISBLANK(H16),"No answer given",IF(J16&lt;=SUM(L16)/3,"Low",IF(SUM(J16)&gt;(SUM(L16)*2/3),"High","Medium"))),IF(C16="No","N/A","No answer given"))</f>
        <v>No answer given</v>
      </c>
      <c r="O16" s="639" t="str">
        <f>IF(COUNTIF(N16:N20,"No answer given")&gt;0,"No answer given",IF(N20&lt;&gt;"High",IF(SUM(K16:K20)&lt;=(SUM(M16:M20)/3),"Low Risk",IF(SUM(K16:K20)&gt;(SUM(M16:M20)*2/3),"High Risk","Medium Risk")),"High Risk"))</f>
        <v>No answer given</v>
      </c>
      <c r="P16" s="296" t="s">
        <v>340</v>
      </c>
      <c r="Q16" s="297"/>
      <c r="R16" s="261" t="s">
        <v>557</v>
      </c>
      <c r="S16" s="273" t="s">
        <v>540</v>
      </c>
      <c r="T16" s="268" t="s">
        <v>608</v>
      </c>
      <c r="U16" s="51"/>
      <c r="V16" s="51"/>
      <c r="W16" s="1"/>
    </row>
    <row r="17" spans="1:23" ht="249.75" customHeight="1" x14ac:dyDescent="0.3">
      <c r="A17" s="668"/>
      <c r="B17" s="294" t="str">
        <f>Matrix!C15</f>
        <v>Community health and safety</v>
      </c>
      <c r="C17" s="274" t="str">
        <f>IF($E$3=0,"No answer given",IF((VLOOKUP(B17,Matrix!$C$4:$M$20,MATCH($E$3,Matrix!$I$3:$M$3,0)+6,0))="x","Yes","No"))</f>
        <v>No answer given</v>
      </c>
      <c r="D17" s="271">
        <v>13</v>
      </c>
      <c r="E17" s="268" t="s">
        <v>407</v>
      </c>
      <c r="F17" s="295" t="s">
        <v>478</v>
      </c>
      <c r="G17" s="266" t="s">
        <v>290</v>
      </c>
      <c r="H17" s="265"/>
      <c r="I17" s="58">
        <f>IF(ISBLANK(H17),0,IF(H17=G17,0,2))</f>
        <v>0</v>
      </c>
      <c r="J17" s="429">
        <f>AVERAGE(I17,I12:I15)</f>
        <v>0</v>
      </c>
      <c r="K17" s="198">
        <f t="shared" si="1"/>
        <v>0</v>
      </c>
      <c r="L17" s="232">
        <v>2</v>
      </c>
      <c r="M17" s="135">
        <f>IF(C17="Yes",SUM(L17),SUM(L17)*0)</f>
        <v>0</v>
      </c>
      <c r="N17" s="203" t="str">
        <f t="shared" ref="N17:N18" si="7">IF(C17="Yes",IF(ISBLANK(H17),"No answer given",IF(J17&lt;=SUM(L17)/3,"Low",IF(SUM(J17)&gt;(SUM(L17)*2/3),"High","Medium"))),IF(C17="No","N/A","No answer given"))</f>
        <v>No answer given</v>
      </c>
      <c r="O17" s="639"/>
      <c r="P17" s="296" t="s">
        <v>345</v>
      </c>
      <c r="Q17" s="297"/>
      <c r="R17" s="261" t="s">
        <v>485</v>
      </c>
      <c r="S17" s="261"/>
      <c r="T17" s="268" t="s">
        <v>592</v>
      </c>
      <c r="U17" s="51"/>
      <c r="V17" s="51"/>
      <c r="W17" s="1"/>
    </row>
    <row r="18" spans="1:23" ht="162" customHeight="1" x14ac:dyDescent="0.3">
      <c r="A18" s="669"/>
      <c r="B18" s="294" t="str">
        <f>Matrix!C16</f>
        <v>Decent remuneration and compensation for workers</v>
      </c>
      <c r="C18" s="274" t="str">
        <f>IF($E$3=0,"No answer given",IF((VLOOKUP(B18,Matrix!$C$4:$M$20,MATCH($E$3,Matrix!$I$3:$M$3,0)+6,0))="x","Yes","No"))</f>
        <v>No answer given</v>
      </c>
      <c r="D18" s="271">
        <v>14</v>
      </c>
      <c r="E18" s="268" t="s">
        <v>347</v>
      </c>
      <c r="F18" s="259" t="s">
        <v>348</v>
      </c>
      <c r="G18" s="266"/>
      <c r="H18" s="265"/>
      <c r="I18" s="58" cm="1">
        <f t="array" ref="I18">IF(ISBLANK(H18),0,_xlfn.SWITCH(H18,"Y",0,"Partially",1,"N",2,"Unknown",2))</f>
        <v>0</v>
      </c>
      <c r="J18" s="174">
        <f>I18</f>
        <v>0</v>
      </c>
      <c r="K18" s="174">
        <f t="shared" si="1"/>
        <v>0</v>
      </c>
      <c r="L18" s="233">
        <v>2</v>
      </c>
      <c r="M18" s="135">
        <f>IF(C18="Yes",SUM(L18),SUM(L18)*0)</f>
        <v>0</v>
      </c>
      <c r="N18" s="203" t="str">
        <f t="shared" si="7"/>
        <v>No answer given</v>
      </c>
      <c r="O18" s="639"/>
      <c r="P18" s="296"/>
      <c r="Q18" s="297"/>
      <c r="R18" s="261" t="s">
        <v>350</v>
      </c>
      <c r="S18" s="261"/>
      <c r="T18" s="268" t="s">
        <v>667</v>
      </c>
      <c r="U18" s="51"/>
      <c r="V18" s="51"/>
      <c r="W18" s="1"/>
    </row>
    <row r="19" spans="1:23" ht="165.75" customHeight="1" x14ac:dyDescent="0.3">
      <c r="A19" s="669"/>
      <c r="B19" s="290" t="str">
        <f>Matrix!C17</f>
        <v>Occupational health and safety</v>
      </c>
      <c r="C19" s="274" t="str">
        <f>IF($E$3=0,"No answer given",IF((VLOOKUP(B19,Matrix!$C$4:$M$20,MATCH($E$3,Matrix!$I$3:$M$3,0)+6,0))="x","Yes","No"))</f>
        <v>No answer given</v>
      </c>
      <c r="D19" s="291">
        <v>15</v>
      </c>
      <c r="E19" s="634" t="s">
        <v>551</v>
      </c>
      <c r="F19" s="635"/>
      <c r="G19" s="266"/>
      <c r="H19" s="423" t="str">
        <f>VLOOKUP(B19,'1 - Pre-screening Assessment'!$C$16:$E$32,3,0)</f>
        <v>No answer given</v>
      </c>
      <c r="I19" s="58" cm="1">
        <f t="array" ref="I19">_xlfn.SWITCH(H19,"Low",1,"Medium",2,"High",3,"No answer given",0)</f>
        <v>0</v>
      </c>
      <c r="J19" s="428">
        <f>AVERAGE(I19,I14:I15,I12)</f>
        <v>0</v>
      </c>
      <c r="K19" s="58">
        <f>J19</f>
        <v>0</v>
      </c>
      <c r="L19" s="58">
        <v>2.25</v>
      </c>
      <c r="M19" s="135">
        <f>IF(C19="Yes",SUM(L19),SUM(L19)*0)</f>
        <v>0</v>
      </c>
      <c r="N19" s="257" t="str">
        <f>IF(OR(C19="Yes",C19="No answer given"),H19,"N/A")</f>
        <v>No answer given</v>
      </c>
      <c r="O19" s="639"/>
      <c r="P19" s="296"/>
      <c r="Q19" s="297"/>
      <c r="R19" s="261" t="s">
        <v>398</v>
      </c>
      <c r="S19" s="261"/>
      <c r="T19" s="268" t="s">
        <v>609</v>
      </c>
      <c r="U19" s="51"/>
      <c r="V19" s="51"/>
      <c r="W19" s="1"/>
    </row>
    <row r="20" spans="1:23" ht="286.5" customHeight="1" x14ac:dyDescent="0.3">
      <c r="A20" s="669"/>
      <c r="B20" s="294" t="str">
        <f>Matrix!C18</f>
        <v xml:space="preserve">Human rights, child labor and slavery </v>
      </c>
      <c r="C20" s="274" t="str">
        <f>IF($E$3=0,"No answer given",IF((VLOOKUP(B20,Matrix!$C$4:$M$20,MATCH($E$3,Matrix!$I$3:$M$3,0)+6,0))="x","Yes","No"))</f>
        <v>No answer given</v>
      </c>
      <c r="D20" s="298">
        <v>16</v>
      </c>
      <c r="E20" s="275" t="s">
        <v>408</v>
      </c>
      <c r="F20" s="266" t="s">
        <v>567</v>
      </c>
      <c r="G20" s="266"/>
      <c r="H20" s="293"/>
      <c r="I20" s="289" cm="1">
        <f t="array" ref="I20">IF(ISBLANK(H20),0,_xlfn.SWITCH(H20,"A",3,"D",3,"B",2,"C",1))</f>
        <v>0</v>
      </c>
      <c r="J20" s="61">
        <f t="shared" ref="J20:J28" si="8">I20</f>
        <v>0</v>
      </c>
      <c r="K20" s="174">
        <f>IF(C20="Yes",SUM(J20),SUM(J20)*0)</f>
        <v>0</v>
      </c>
      <c r="L20" s="231">
        <v>3</v>
      </c>
      <c r="M20" s="135">
        <f>IF(C20="Yes",SUM(L20),SUM(L20)*0)</f>
        <v>0</v>
      </c>
      <c r="N20" s="203" t="str">
        <f>IF(C20="Yes",IF(ISBLANK(H20),"No answer given",IF(J20&lt;=SUM(L20)/3,"Low",IF(SUM(J20)&gt;(SUM(L20)*2/3),"High","Medium"))),IF(C20="No","N/A","No answer given"))</f>
        <v>No answer given</v>
      </c>
      <c r="O20" s="639"/>
      <c r="P20" s="296" t="s">
        <v>362</v>
      </c>
      <c r="Q20" s="299"/>
      <c r="R20" s="268" t="s">
        <v>568</v>
      </c>
      <c r="S20" s="268"/>
      <c r="T20" s="268" t="s">
        <v>610</v>
      </c>
      <c r="U20" s="51"/>
      <c r="V20" s="51"/>
      <c r="W20" s="1"/>
    </row>
    <row r="21" spans="1:23" ht="247.5" customHeight="1" x14ac:dyDescent="0.3">
      <c r="A21" s="650" t="s">
        <v>409</v>
      </c>
      <c r="B21" s="651" t="str">
        <f>Matrix!C19</f>
        <v>Impact on food availability and price</v>
      </c>
      <c r="C21" s="654" t="str">
        <f>IF($E$3=0,"No answer given",IF((VLOOKUP(B21,Matrix!$C$4:$M$20,MATCH($E$3,Matrix!$I$3:$M$3,0)+6,0))="x","Yes","No"))</f>
        <v>No answer given</v>
      </c>
      <c r="D21" s="298">
        <v>17</v>
      </c>
      <c r="E21" s="275" t="s">
        <v>410</v>
      </c>
      <c r="F21" s="295" t="s">
        <v>549</v>
      </c>
      <c r="G21" s="266"/>
      <c r="H21" s="300"/>
      <c r="I21" s="58" cm="1">
        <f t="array" ref="I21">IF(ISBLANK(H21),0,_xlfn.SWITCH(H21,"A",1,"B",2,"C",3,"D",4,"E",5,"F",5))</f>
        <v>0</v>
      </c>
      <c r="J21" s="61">
        <f t="shared" si="8"/>
        <v>0</v>
      </c>
      <c r="K21" s="583">
        <f>IF(C21="Yes",SUM(J21:J27),SUM(J21:J27)*0)</f>
        <v>0</v>
      </c>
      <c r="L21" s="234">
        <v>5</v>
      </c>
      <c r="M21" s="657">
        <f>IF(C21="Yes",SUM(L21:L27),SUM(L21:L27)*0)</f>
        <v>0</v>
      </c>
      <c r="N21" s="646" t="str" cm="1">
        <f t="array" ref="N21">IF(C21="Yes",IF(OR(ISBLANK(H21:H27)),"No answer Given",IF(SUM(J21:J27)&lt;=(SUM(L21:L27)/3),"Low",IF(SUM(J21:J27)&gt;(SUM(L21:L27)*2/3),"High","Medium"))),IF(C21="No","N/A","No answer given"))</f>
        <v>No answer given</v>
      </c>
      <c r="O21" s="639" t="str">
        <f>IF(COUNTIF(N21:N28,"No answer given")&gt;0,"No answer given",IF(N21="High","High Risk",IF(SUM(K21:K28)&lt;=(SUM(M21:M28)/3),"Low Risk",IF(SUM(K21:K28)&gt;(SUM(M21:M28)*2/3),"High Risk","Medium Risk"))))</f>
        <v>No answer given</v>
      </c>
      <c r="P21" s="296" t="s">
        <v>657</v>
      </c>
      <c r="Q21" s="297"/>
      <c r="R21" s="638" t="s">
        <v>558</v>
      </c>
      <c r="S21" s="647" t="s">
        <v>541</v>
      </c>
      <c r="T21" s="638" t="s">
        <v>611</v>
      </c>
      <c r="U21" s="51"/>
      <c r="V21" s="51"/>
      <c r="W21" s="1"/>
    </row>
    <row r="22" spans="1:23" ht="69.75" customHeight="1" x14ac:dyDescent="0.2">
      <c r="A22" s="650"/>
      <c r="B22" s="652"/>
      <c r="C22" s="655"/>
      <c r="D22" s="658">
        <v>18</v>
      </c>
      <c r="E22" s="275" t="s">
        <v>571</v>
      </c>
      <c r="F22" s="661" t="s">
        <v>503</v>
      </c>
      <c r="G22" s="282" t="s">
        <v>289</v>
      </c>
      <c r="H22" s="300"/>
      <c r="I22" s="58">
        <f t="shared" ref="I22:I27" si="9">IF(ISBLANK(H22),0,IF(H22=G22,0,1))</f>
        <v>0</v>
      </c>
      <c r="J22" s="61">
        <f t="shared" si="8"/>
        <v>0</v>
      </c>
      <c r="K22" s="584"/>
      <c r="L22" s="234">
        <v>1</v>
      </c>
      <c r="M22" s="657"/>
      <c r="N22" s="646"/>
      <c r="O22" s="639"/>
      <c r="P22" s="640" t="s">
        <v>371</v>
      </c>
      <c r="Q22" s="302"/>
      <c r="R22" s="638"/>
      <c r="S22" s="648"/>
      <c r="T22" s="638"/>
      <c r="U22" s="51"/>
      <c r="V22" s="51"/>
      <c r="W22" s="1"/>
    </row>
    <row r="23" spans="1:23" ht="23.25" customHeight="1" x14ac:dyDescent="0.2">
      <c r="A23" s="650"/>
      <c r="B23" s="652"/>
      <c r="C23" s="655"/>
      <c r="D23" s="659"/>
      <c r="E23" s="275" t="s">
        <v>572</v>
      </c>
      <c r="F23" s="662"/>
      <c r="G23" s="303" t="s">
        <v>289</v>
      </c>
      <c r="H23" s="300"/>
      <c r="I23" s="58">
        <f t="shared" si="9"/>
        <v>0</v>
      </c>
      <c r="J23" s="61">
        <f t="shared" si="8"/>
        <v>0</v>
      </c>
      <c r="K23" s="584"/>
      <c r="L23" s="234">
        <v>1</v>
      </c>
      <c r="M23" s="657"/>
      <c r="N23" s="646"/>
      <c r="O23" s="639"/>
      <c r="P23" s="641"/>
      <c r="Q23" s="302"/>
      <c r="R23" s="638"/>
      <c r="S23" s="648"/>
      <c r="T23" s="638"/>
      <c r="U23" s="51"/>
      <c r="V23" s="51"/>
      <c r="W23" s="1"/>
    </row>
    <row r="24" spans="1:23" ht="45" customHeight="1" x14ac:dyDescent="0.2">
      <c r="A24" s="650"/>
      <c r="B24" s="652"/>
      <c r="C24" s="655"/>
      <c r="D24" s="660"/>
      <c r="E24" s="275" t="s">
        <v>373</v>
      </c>
      <c r="F24" s="663"/>
      <c r="G24" s="304" t="s">
        <v>289</v>
      </c>
      <c r="H24" s="300"/>
      <c r="I24" s="58">
        <f t="shared" si="9"/>
        <v>0</v>
      </c>
      <c r="J24" s="61">
        <f t="shared" si="8"/>
        <v>0</v>
      </c>
      <c r="K24" s="584"/>
      <c r="L24" s="234">
        <v>1</v>
      </c>
      <c r="M24" s="657"/>
      <c r="N24" s="646"/>
      <c r="O24" s="639"/>
      <c r="P24" s="642"/>
      <c r="Q24" s="302"/>
      <c r="R24" s="638"/>
      <c r="S24" s="648"/>
      <c r="T24" s="638"/>
      <c r="U24" s="51"/>
      <c r="V24" s="51"/>
      <c r="W24" s="1"/>
    </row>
    <row r="25" spans="1:23" ht="72" customHeight="1" x14ac:dyDescent="0.2">
      <c r="A25" s="650"/>
      <c r="B25" s="652"/>
      <c r="C25" s="655"/>
      <c r="D25" s="658">
        <v>19</v>
      </c>
      <c r="E25" s="275" t="s">
        <v>570</v>
      </c>
      <c r="F25" s="664" t="s">
        <v>503</v>
      </c>
      <c r="G25" s="282" t="s">
        <v>289</v>
      </c>
      <c r="H25" s="300"/>
      <c r="I25" s="58">
        <f t="shared" si="9"/>
        <v>0</v>
      </c>
      <c r="J25" s="61">
        <f t="shared" si="8"/>
        <v>0</v>
      </c>
      <c r="K25" s="584"/>
      <c r="L25" s="234">
        <v>1</v>
      </c>
      <c r="M25" s="657"/>
      <c r="N25" s="646"/>
      <c r="O25" s="639"/>
      <c r="P25" s="643" t="s">
        <v>371</v>
      </c>
      <c r="Q25" s="306"/>
      <c r="R25" s="638"/>
      <c r="S25" s="648"/>
      <c r="T25" s="638"/>
      <c r="U25" s="51"/>
      <c r="V25" s="51"/>
      <c r="W25" s="1"/>
    </row>
    <row r="26" spans="1:23" ht="90.75" customHeight="1" x14ac:dyDescent="0.2">
      <c r="A26" s="650"/>
      <c r="B26" s="652"/>
      <c r="C26" s="655"/>
      <c r="D26" s="659"/>
      <c r="E26" s="275" t="s">
        <v>569</v>
      </c>
      <c r="F26" s="665"/>
      <c r="G26" s="303" t="s">
        <v>289</v>
      </c>
      <c r="H26" s="300"/>
      <c r="I26" s="58">
        <f t="shared" si="9"/>
        <v>0</v>
      </c>
      <c r="J26" s="61">
        <f t="shared" si="8"/>
        <v>0</v>
      </c>
      <c r="K26" s="584"/>
      <c r="L26" s="234">
        <v>1</v>
      </c>
      <c r="M26" s="657"/>
      <c r="N26" s="646"/>
      <c r="O26" s="639"/>
      <c r="P26" s="644"/>
      <c r="Q26" s="306"/>
      <c r="R26" s="638"/>
      <c r="S26" s="648"/>
      <c r="T26" s="638"/>
      <c r="U26" s="51"/>
      <c r="V26" s="51"/>
      <c r="W26" s="1"/>
    </row>
    <row r="27" spans="1:23" ht="75.95" customHeight="1" x14ac:dyDescent="0.2">
      <c r="A27" s="650"/>
      <c r="B27" s="653"/>
      <c r="C27" s="656"/>
      <c r="D27" s="660"/>
      <c r="E27" s="275" t="s">
        <v>376</v>
      </c>
      <c r="F27" s="666"/>
      <c r="G27" s="304" t="s">
        <v>289</v>
      </c>
      <c r="H27" s="300"/>
      <c r="I27" s="58">
        <f t="shared" si="9"/>
        <v>0</v>
      </c>
      <c r="J27" s="61">
        <f t="shared" si="8"/>
        <v>0</v>
      </c>
      <c r="K27" s="585"/>
      <c r="L27" s="234">
        <v>1</v>
      </c>
      <c r="M27" s="657"/>
      <c r="N27" s="646"/>
      <c r="O27" s="639"/>
      <c r="P27" s="645"/>
      <c r="Q27" s="306"/>
      <c r="R27" s="638"/>
      <c r="S27" s="649"/>
      <c r="T27" s="638"/>
      <c r="U27" s="51"/>
      <c r="V27" s="51"/>
      <c r="W27" s="1"/>
    </row>
    <row r="28" spans="1:23" ht="279.75" customHeight="1" x14ac:dyDescent="0.2">
      <c r="A28" s="650"/>
      <c r="B28" s="301" t="str">
        <f>Matrix!C20</f>
        <v>Increased and equitable share of revenues &amp; employment opportunities for local communities development</v>
      </c>
      <c r="C28" s="270" t="str">
        <f>IF($E$3=0,"No answer given",IF((VLOOKUP(B28,Matrix!$C$4:$M$20,MATCH($E$3,Matrix!$I$3:$M$3,0)+6,0))="x","Yes","No"))</f>
        <v>No answer given</v>
      </c>
      <c r="D28" s="298">
        <v>20</v>
      </c>
      <c r="E28" s="275" t="s">
        <v>433</v>
      </c>
      <c r="F28" s="266" t="s">
        <v>547</v>
      </c>
      <c r="G28" s="266" t="s">
        <v>295</v>
      </c>
      <c r="H28" s="300"/>
      <c r="I28" s="58">
        <f>IF(ISBLANK(H28),0,IF(H28=G28,0,2))</f>
        <v>0</v>
      </c>
      <c r="J28" s="61">
        <f t="shared" si="8"/>
        <v>0</v>
      </c>
      <c r="K28" s="157">
        <f>IF(C28="Yes",SUM(J28),SUM(J28)*0)</f>
        <v>0</v>
      </c>
      <c r="L28" s="234">
        <v>3</v>
      </c>
      <c r="M28" s="235">
        <f>IF(C28="Yes",SUM(L28),SUM(L28)*0)</f>
        <v>0</v>
      </c>
      <c r="N28" s="203" t="str">
        <f>IF(C28="Yes",IF(ISBLANK(H28),"No answer given",IF(J28&lt;=SUM(L28)/3,"Low",IF(SUM(J28)&gt;(SUM(L28)*2/3),"High","Medium"))),IF(C28="No","N/A","No answer given"))</f>
        <v>No answer given</v>
      </c>
      <c r="O28" s="639"/>
      <c r="P28" s="266" t="s">
        <v>382</v>
      </c>
      <c r="Q28" s="267"/>
      <c r="R28" s="307" t="s">
        <v>689</v>
      </c>
      <c r="S28" s="273" t="s">
        <v>542</v>
      </c>
      <c r="T28" s="268" t="s">
        <v>658</v>
      </c>
      <c r="U28" s="51"/>
      <c r="V28" s="51"/>
      <c r="W28" s="1"/>
    </row>
    <row r="29" spans="1:23" ht="54.6" customHeight="1" x14ac:dyDescent="0.2">
      <c r="A29" s="1"/>
      <c r="B29" s="192"/>
      <c r="C29" s="1"/>
      <c r="D29" s="150"/>
      <c r="E29" s="636" t="s">
        <v>458</v>
      </c>
      <c r="F29" s="636"/>
      <c r="G29" s="636"/>
      <c r="H29" s="636"/>
      <c r="I29" s="636"/>
      <c r="J29" s="636"/>
      <c r="K29" s="636"/>
      <c r="L29" s="636"/>
      <c r="M29" s="636"/>
      <c r="N29" s="636"/>
      <c r="O29" s="637"/>
      <c r="P29" s="28"/>
      <c r="Q29" s="28"/>
      <c r="R29" s="1"/>
      <c r="S29" s="1"/>
      <c r="T29" s="1"/>
      <c r="U29" s="1"/>
      <c r="V29" s="1"/>
      <c r="W29" s="1"/>
    </row>
    <row r="30" spans="1:23" ht="12.75" customHeight="1" x14ac:dyDescent="0.2">
      <c r="A30" s="1"/>
      <c r="B30" s="192"/>
      <c r="C30" s="1"/>
      <c r="D30" s="150"/>
      <c r="E30" s="150"/>
      <c r="F30" s="150"/>
      <c r="G30" s="150"/>
      <c r="H30" s="150"/>
      <c r="I30" s="150"/>
      <c r="J30" s="150"/>
      <c r="K30" s="150"/>
      <c r="L30" s="150"/>
      <c r="M30" s="150"/>
      <c r="N30" s="150"/>
      <c r="O30" s="150"/>
      <c r="P30" s="150"/>
      <c r="Q30" s="150"/>
      <c r="R30" s="150"/>
      <c r="S30" s="150"/>
      <c r="T30" s="1"/>
      <c r="U30" s="1"/>
      <c r="V30" s="1"/>
      <c r="W30" s="1"/>
    </row>
    <row r="31" spans="1:23" ht="12.75" customHeight="1" x14ac:dyDescent="0.2">
      <c r="A31" s="1"/>
      <c r="B31" s="192"/>
      <c r="C31" s="1"/>
      <c r="D31" s="150"/>
      <c r="E31" s="145"/>
      <c r="F31" s="145"/>
      <c r="G31" s="145"/>
      <c r="H31" s="145"/>
      <c r="I31" s="145"/>
      <c r="J31" s="145"/>
      <c r="K31" s="145"/>
      <c r="L31" s="145"/>
      <c r="M31" s="145"/>
      <c r="N31" s="145"/>
      <c r="O31" s="145"/>
      <c r="P31" s="150"/>
      <c r="Q31" s="150"/>
      <c r="R31" s="150"/>
      <c r="S31" s="150"/>
      <c r="T31" s="1"/>
      <c r="U31" s="1"/>
      <c r="V31" s="1"/>
      <c r="W31" s="1"/>
    </row>
    <row r="32" spans="1:23" ht="12.75" customHeight="1" x14ac:dyDescent="0.2">
      <c r="A32" s="1"/>
      <c r="B32" s="192"/>
      <c r="C32" s="1"/>
      <c r="D32" s="150"/>
      <c r="E32" s="145"/>
      <c r="F32" s="145"/>
      <c r="G32" s="145"/>
      <c r="H32" s="83"/>
      <c r="I32" s="145"/>
      <c r="J32" s="145"/>
      <c r="K32" s="145"/>
      <c r="L32" s="145"/>
      <c r="M32" s="145"/>
      <c r="N32" s="145"/>
      <c r="O32" s="145"/>
      <c r="P32" s="150"/>
      <c r="Q32" s="150"/>
      <c r="R32" s="150"/>
      <c r="S32" s="150"/>
      <c r="T32" s="1"/>
      <c r="U32" s="1"/>
      <c r="V32" s="1"/>
      <c r="W32" s="1"/>
    </row>
    <row r="33" spans="1:23" ht="12.75" customHeight="1" x14ac:dyDescent="0.2">
      <c r="A33" s="1"/>
      <c r="B33" s="192"/>
      <c r="C33" s="1"/>
      <c r="D33" s="150"/>
      <c r="E33" s="145"/>
      <c r="F33" s="145"/>
      <c r="G33" s="145"/>
      <c r="H33" s="84">
        <f>SUM(J6:J28)</f>
        <v>0</v>
      </c>
      <c r="I33" s="145"/>
      <c r="J33" s="145"/>
      <c r="K33" s="145"/>
      <c r="L33" s="145"/>
      <c r="M33" s="145"/>
      <c r="N33" s="145"/>
      <c r="O33" s="145"/>
      <c r="P33" s="150"/>
      <c r="Q33" s="150"/>
      <c r="R33" s="150"/>
      <c r="S33" s="150"/>
      <c r="T33" s="1"/>
      <c r="U33" s="1"/>
      <c r="V33" s="1"/>
      <c r="W33" s="1"/>
    </row>
    <row r="34" spans="1:23" x14ac:dyDescent="0.2">
      <c r="A34" s="1"/>
      <c r="B34" s="1"/>
      <c r="C34" s="1"/>
      <c r="D34" s="150"/>
      <c r="E34" s="145"/>
      <c r="F34" s="145"/>
      <c r="G34" s="145"/>
      <c r="H34" s="82"/>
      <c r="I34" s="145"/>
      <c r="J34" s="145"/>
      <c r="K34" s="145"/>
      <c r="L34" s="145"/>
      <c r="M34" s="145"/>
      <c r="N34" s="145"/>
      <c r="O34" s="145"/>
      <c r="P34" s="145"/>
      <c r="Q34" s="145"/>
      <c r="R34" s="1"/>
      <c r="S34" s="1"/>
      <c r="T34" s="1"/>
      <c r="U34" s="1"/>
      <c r="V34" s="1"/>
      <c r="W34" s="1"/>
    </row>
    <row r="35" spans="1:23" ht="30" customHeight="1" x14ac:dyDescent="0.2">
      <c r="A35" s="1"/>
      <c r="B35" s="1"/>
      <c r="C35" s="1"/>
      <c r="D35" s="150"/>
      <c r="E35" s="145"/>
      <c r="F35" s="145"/>
      <c r="G35" s="145"/>
      <c r="H35" s="145"/>
      <c r="I35" s="145"/>
      <c r="J35" s="145"/>
      <c r="K35" s="145"/>
      <c r="L35" s="145"/>
      <c r="M35" s="145"/>
      <c r="N35" s="145"/>
      <c r="O35" s="145"/>
      <c r="P35" s="145"/>
      <c r="Q35" s="145"/>
      <c r="R35" s="1"/>
      <c r="S35" s="1"/>
      <c r="T35" s="1"/>
      <c r="U35" s="1"/>
      <c r="V35" s="1"/>
      <c r="W35" s="1"/>
    </row>
    <row r="36" spans="1:23" x14ac:dyDescent="0.2">
      <c r="A36" s="1"/>
      <c r="B36" s="1"/>
      <c r="C36" s="1"/>
      <c r="D36" s="150"/>
      <c r="E36" s="145"/>
      <c r="F36" s="145"/>
      <c r="G36" s="145"/>
      <c r="H36" s="145"/>
      <c r="I36" s="145"/>
      <c r="J36" s="145"/>
      <c r="K36" s="145"/>
      <c r="L36" s="145"/>
      <c r="M36" s="145"/>
      <c r="N36" s="145"/>
      <c r="O36" s="145"/>
      <c r="P36" s="145"/>
      <c r="Q36" s="145"/>
      <c r="R36" s="1"/>
      <c r="S36" s="1"/>
      <c r="T36" s="1"/>
      <c r="U36" s="1"/>
      <c r="V36" s="1"/>
      <c r="W36" s="1"/>
    </row>
    <row r="37" spans="1:23" x14ac:dyDescent="0.2">
      <c r="A37" s="1"/>
      <c r="B37" s="1"/>
      <c r="C37" s="1"/>
      <c r="D37" s="150"/>
      <c r="E37" s="145"/>
      <c r="F37" s="145"/>
      <c r="G37" s="145"/>
      <c r="H37" s="145"/>
      <c r="I37" s="145"/>
      <c r="J37" s="145"/>
      <c r="K37" s="145"/>
      <c r="L37" s="145"/>
      <c r="M37" s="145"/>
      <c r="N37" s="145"/>
      <c r="O37" s="145"/>
      <c r="P37" s="145"/>
      <c r="Q37" s="145"/>
      <c r="R37" s="1"/>
      <c r="S37" s="1"/>
      <c r="T37" s="1"/>
      <c r="U37" s="1"/>
      <c r="V37" s="1"/>
      <c r="W37" s="1"/>
    </row>
    <row r="38" spans="1:23" x14ac:dyDescent="0.2">
      <c r="A38" s="1"/>
      <c r="B38" s="1"/>
      <c r="C38" s="1"/>
      <c r="D38" s="150"/>
      <c r="E38" s="145"/>
      <c r="F38" s="145"/>
      <c r="G38" s="145"/>
      <c r="H38" s="145"/>
      <c r="I38" s="145"/>
      <c r="J38" s="145"/>
      <c r="K38" s="145"/>
      <c r="L38" s="145"/>
      <c r="M38" s="145"/>
      <c r="N38" s="145"/>
      <c r="O38" s="145"/>
      <c r="P38" s="145"/>
      <c r="Q38" s="145"/>
      <c r="R38" s="1"/>
      <c r="S38" s="1"/>
      <c r="T38" s="1"/>
      <c r="U38" s="1"/>
      <c r="V38" s="1"/>
      <c r="W38" s="1"/>
    </row>
    <row r="39" spans="1:23" x14ac:dyDescent="0.2">
      <c r="A39" s="1"/>
      <c r="B39" s="1"/>
      <c r="C39" s="1"/>
      <c r="D39" s="150"/>
      <c r="E39" s="145"/>
      <c r="F39" s="145"/>
      <c r="G39" s="145"/>
      <c r="H39" s="145"/>
      <c r="I39" s="145"/>
      <c r="J39" s="145"/>
      <c r="K39" s="145"/>
      <c r="L39" s="145"/>
      <c r="M39" s="145"/>
      <c r="N39" s="145"/>
      <c r="O39" s="145"/>
      <c r="P39" s="145"/>
      <c r="Q39" s="145"/>
      <c r="R39" s="1"/>
      <c r="S39" s="1"/>
      <c r="T39" s="1"/>
      <c r="U39" s="1"/>
      <c r="V39" s="1"/>
      <c r="W39" s="1"/>
    </row>
    <row r="40" spans="1:23" x14ac:dyDescent="0.2">
      <c r="A40" s="1"/>
      <c r="B40" s="1"/>
      <c r="C40" s="1"/>
      <c r="D40" s="150"/>
      <c r="E40" s="1"/>
      <c r="F40" s="1"/>
      <c r="G40" s="1"/>
      <c r="H40" s="1"/>
      <c r="I40" s="1"/>
      <c r="J40" s="1"/>
      <c r="K40" s="1"/>
      <c r="L40" s="1"/>
      <c r="M40" s="1"/>
      <c r="N40" s="1"/>
      <c r="O40" s="145"/>
      <c r="P40" s="145"/>
      <c r="Q40" s="145"/>
      <c r="R40" s="1"/>
      <c r="S40" s="1"/>
      <c r="T40" s="1"/>
      <c r="W40" s="1"/>
    </row>
  </sheetData>
  <sheetProtection algorithmName="SHA-512" hashValue="G1sHmOXhAG+P5iT9zDo0613Tcor4hgk7xh7gYGm2QDYXhTIrrBT2UCBYUI4HMQBkXMS1HxwdBhiV2DQX+zYLIw==" saltValue="hEvZ9jXNZ10J3wSykiFn8A==" spinCount="100000" sheet="1" objects="1" scenarios="1"/>
  <protectedRanges>
    <protectedRange sqref="S20:S28" name="Link"/>
    <protectedRange sqref="Q5:Q28" name="User Note"/>
    <protectedRange sqref="H6:H11 H13 H16:H18 H20:H28" name="Input Answer"/>
  </protectedRanges>
  <mergeCells count="39">
    <mergeCell ref="A1:T2"/>
    <mergeCell ref="B3:D3"/>
    <mergeCell ref="E4:F4"/>
    <mergeCell ref="A16:A20"/>
    <mergeCell ref="O16:O20"/>
    <mergeCell ref="T6:T7"/>
    <mergeCell ref="B6:B7"/>
    <mergeCell ref="C6:C7"/>
    <mergeCell ref="K6:K7"/>
    <mergeCell ref="M6:M7"/>
    <mergeCell ref="N6:N7"/>
    <mergeCell ref="N3:R3"/>
    <mergeCell ref="A5:A8"/>
    <mergeCell ref="O5:O8"/>
    <mergeCell ref="O9:O12"/>
    <mergeCell ref="O13:O15"/>
    <mergeCell ref="E19:F19"/>
    <mergeCell ref="S21:S27"/>
    <mergeCell ref="A21:A28"/>
    <mergeCell ref="B21:B27"/>
    <mergeCell ref="C21:C27"/>
    <mergeCell ref="K21:K27"/>
    <mergeCell ref="M21:M27"/>
    <mergeCell ref="D22:D24"/>
    <mergeCell ref="F22:F24"/>
    <mergeCell ref="D25:D27"/>
    <mergeCell ref="F25:F27"/>
    <mergeCell ref="E29:O29"/>
    <mergeCell ref="T21:T27"/>
    <mergeCell ref="O21:O28"/>
    <mergeCell ref="R21:R27"/>
    <mergeCell ref="P22:P24"/>
    <mergeCell ref="P25:P27"/>
    <mergeCell ref="N21:N27"/>
    <mergeCell ref="A13:A15"/>
    <mergeCell ref="E5:F5"/>
    <mergeCell ref="E12:F12"/>
    <mergeCell ref="E14:F14"/>
    <mergeCell ref="E15:F15"/>
  </mergeCells>
  <conditionalFormatting sqref="C5:C28">
    <cfRule type="containsText" dxfId="77" priority="10" operator="containsText" text="No">
      <formula>NOT(ISERROR(SEARCH("No",C5)))</formula>
    </cfRule>
  </conditionalFormatting>
  <conditionalFormatting sqref="O5 O9 O13 O16:O28">
    <cfRule type="containsText" dxfId="73" priority="2" operator="containsText" text="High Risk">
      <formula>NOT(ISERROR(SEARCH("High Risk",O5)))</formula>
    </cfRule>
    <cfRule type="containsText" dxfId="72" priority="3" operator="containsText" text="Medium Risk">
      <formula>NOT(ISERROR(SEARCH("Medium Risk",O5)))</formula>
    </cfRule>
    <cfRule type="containsText" dxfId="71" priority="4" operator="containsText" text="Low Risk">
      <formula>NOT(ISERROR(SEARCH("Low Risk",O5)))</formula>
    </cfRule>
  </conditionalFormatting>
  <conditionalFormatting sqref="T5:T28">
    <cfRule type="expression" dxfId="70" priority="1">
      <formula>OR(N5="Low",N5="N/A",N5="No answer given")</formula>
    </cfRule>
  </conditionalFormatting>
  <dataValidations count="7">
    <dataValidation type="list" allowBlank="1" showInputMessage="1" showErrorMessage="1" sqref="H16:H17 H22:H27 H13" xr:uid="{E621E969-7813-4D7E-8A8E-D72944183418}">
      <formula1>$U$8:$U$10</formula1>
    </dataValidation>
    <dataValidation type="list" allowBlank="1" showInputMessage="1" showErrorMessage="1" sqref="H28" xr:uid="{F05F29DD-DE45-41EA-B717-530692F666D3}">
      <formula1>"A, B, C"</formula1>
    </dataValidation>
    <dataValidation type="list" allowBlank="1" showInputMessage="1" showErrorMessage="1" sqref="H6 H8:H9 H20" xr:uid="{807EDCB6-56F2-492A-9C25-7156669D4515}">
      <formula1>$U$3:$U$6</formula1>
    </dataValidation>
    <dataValidation type="list" allowBlank="1" showInputMessage="1" showErrorMessage="1" sqref="H7" xr:uid="{157738F8-5B21-454F-BD15-211C74BAE1CE}">
      <formula1>$U$3:$U$5</formula1>
    </dataValidation>
    <dataValidation type="list" allowBlank="1" showInputMessage="1" showErrorMessage="1" sqref="H10:H11" xr:uid="{C1562B33-23AF-4D3D-8BC9-98C51744FEB2}">
      <formula1>$U$3:$U$7</formula1>
    </dataValidation>
    <dataValidation type="list" allowBlank="1" showInputMessage="1" showErrorMessage="1" sqref="H18" xr:uid="{1CB0A7A1-B5B4-4D04-AA1E-DFF935FF3F68}">
      <formula1>$V$8:$V$11</formula1>
    </dataValidation>
    <dataValidation type="list" allowBlank="1" showInputMessage="1" showErrorMessage="1" sqref="H21" xr:uid="{B343CF2D-37E8-4F08-8C63-404CBFC9E097}">
      <formula1>"A,B,C,D,E,F"</formula1>
    </dataValidation>
  </dataValidations>
  <hyperlinks>
    <hyperlink ref="S7" r:id="rId1" xr:uid="{277474C5-29C1-44A4-9BD5-B4ED73C419E1}"/>
    <hyperlink ref="S8" r:id="rId2" xr:uid="{48F07267-B51E-4C5E-86BE-DD08358A5C3C}"/>
    <hyperlink ref="S10" r:id="rId3" xr:uid="{22DAE08D-8C2D-431F-A8CE-BA9C07A23FC4}"/>
    <hyperlink ref="S11" r:id="rId4" xr:uid="{6BD8EA89-6D37-4842-AC28-FE0595228A6E}"/>
    <hyperlink ref="S16" r:id="rId5" xr:uid="{8C57C0F3-AF00-4C32-A256-DCACB5A237A6}"/>
    <hyperlink ref="S21" r:id="rId6" xr:uid="{64A45C81-08B0-427F-9FEF-3D4955E0E9CD}"/>
    <hyperlink ref="S28" r:id="rId7" location="/indicies/IHDI" xr:uid="{A903051A-588A-4225-A91A-438CDF20E191}"/>
    <hyperlink ref="S9" r:id="rId8" display="https://www.protectedplanet.net/en/thematic-areas/wdpa?tab=WDPA" xr:uid="{990BF8EB-EE44-4C54-8360-58CA5F379F77}"/>
  </hyperlinks>
  <pageMargins left="0.7" right="0.7" top="0.75" bottom="0.75" header="0.3" footer="0.3"/>
  <pageSetup paperSize="9" orientation="portrait" r:id="rId9"/>
  <drawing r:id="rId10"/>
  <extLst>
    <ext xmlns:x14="http://schemas.microsoft.com/office/spreadsheetml/2009/9/main" uri="{78C0D931-6437-407d-A8EE-F0AAD7539E65}">
      <x14:conditionalFormattings>
        <x14:conditionalFormatting xmlns:xm="http://schemas.microsoft.com/office/excel/2006/main">
          <x14:cfRule type="containsText" priority="11" operator="containsText" id="{26605758-6743-4E77-889A-B1D79A2EFAA7}">
            <xm:f>NOT(ISERROR(SEARCH("Low",N5)))</xm:f>
            <xm:f>"Low"</xm:f>
            <x14:dxf>
              <font>
                <b/>
                <i val="0"/>
                <color theme="1"/>
              </font>
              <fill>
                <patternFill>
                  <bgColor theme="9" tint="0.79998168889431442"/>
                </patternFill>
              </fill>
            </x14:dxf>
          </x14:cfRule>
          <x14:cfRule type="containsText" priority="12" operator="containsText" id="{7E44F6A1-3579-4381-A0B8-3E0BE3523D6A}">
            <xm:f>NOT(ISERROR(SEARCH("High",N5)))</xm:f>
            <xm:f>"High"</xm:f>
            <x14:dxf>
              <font>
                <b/>
                <i val="0"/>
                <color theme="0"/>
              </font>
              <fill>
                <patternFill>
                  <bgColor rgb="FFFF0000"/>
                </patternFill>
              </fill>
            </x14:dxf>
          </x14:cfRule>
          <x14:cfRule type="containsText" priority="13" operator="containsText" id="{D943F9B3-7F9A-4BBB-AF3C-BAFDA98A5CB0}">
            <xm:f>NOT(ISERROR(SEARCH("Medium",N5)))</xm:f>
            <xm:f>"Medium"</xm:f>
            <x14:dxf>
              <font>
                <b/>
                <i val="0"/>
                <color theme="1"/>
              </font>
              <fill>
                <patternFill>
                  <bgColor theme="7" tint="0.79998168889431442"/>
                </patternFill>
              </fill>
            </x14:dxf>
          </x14:cfRule>
          <xm:sqref>N5:N28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C11FD-3675-4C66-92A3-B90CEE8C2E92}">
  <sheetPr>
    <tabColor theme="4" tint="-0.249977111117893"/>
  </sheetPr>
  <dimension ref="A1:W36"/>
  <sheetViews>
    <sheetView showGridLines="0" zoomScale="40" zoomScaleNormal="40" workbookViewId="0">
      <pane xSplit="4" ySplit="2" topLeftCell="E21" activePane="bottomRight" state="frozen"/>
      <selection pane="topRight" activeCell="D1" sqref="D1"/>
      <selection pane="bottomLeft" activeCell="A3" sqref="A3"/>
      <selection pane="bottomRight" activeCell="H8" sqref="H8"/>
    </sheetView>
  </sheetViews>
  <sheetFormatPr defaultColWidth="8.7109375" defaultRowHeight="12.75" x14ac:dyDescent="0.2"/>
  <cols>
    <col min="1" max="1" width="22.85546875" style="2" customWidth="1"/>
    <col min="2" max="2" width="29.42578125" style="2" customWidth="1"/>
    <col min="3" max="3" width="23.5703125" style="2" customWidth="1"/>
    <col min="4" max="4" width="9.85546875" style="26" customWidth="1"/>
    <col min="5" max="5" width="49.28515625" style="2" customWidth="1"/>
    <col min="6" max="6" width="70.5703125" style="2" customWidth="1"/>
    <col min="7" max="7" width="11.42578125" style="2" hidden="1" customWidth="1"/>
    <col min="8" max="8" width="15.85546875" style="2" customWidth="1"/>
    <col min="9" max="9" width="13.7109375" style="2" hidden="1" customWidth="1"/>
    <col min="10" max="11" width="16.28515625" style="2" hidden="1" customWidth="1"/>
    <col min="12" max="13" width="11.85546875" style="2" hidden="1" customWidth="1"/>
    <col min="14" max="14" width="19.42578125" style="2" customWidth="1"/>
    <col min="15" max="15" width="14.85546875" style="27" customWidth="1"/>
    <col min="16" max="16" width="53.42578125" style="27" hidden="1" customWidth="1"/>
    <col min="17" max="17" width="53.42578125" style="27" customWidth="1"/>
    <col min="18" max="18" width="90.42578125" style="2" customWidth="1"/>
    <col min="19" max="19" width="48.28515625" style="2" customWidth="1"/>
    <col min="20" max="20" width="81.85546875" style="2" customWidth="1"/>
    <col min="21" max="22" width="6.85546875" style="2" hidden="1" customWidth="1"/>
    <col min="23" max="16384" width="8.7109375" style="2"/>
  </cols>
  <sheetData>
    <row r="1" spans="1:23" ht="30.95" customHeight="1" x14ac:dyDescent="0.2">
      <c r="A1" s="540" t="s">
        <v>276</v>
      </c>
      <c r="B1" s="540"/>
      <c r="C1" s="540"/>
      <c r="D1" s="540"/>
      <c r="E1" s="540"/>
      <c r="F1" s="540"/>
      <c r="G1" s="540"/>
      <c r="H1" s="540"/>
      <c r="I1" s="540"/>
      <c r="J1" s="540"/>
      <c r="K1" s="540"/>
      <c r="L1" s="540"/>
      <c r="M1" s="540"/>
      <c r="N1" s="540"/>
      <c r="O1" s="540"/>
      <c r="P1" s="540"/>
      <c r="Q1" s="540"/>
      <c r="R1" s="540"/>
      <c r="S1" s="540"/>
      <c r="T1" s="540"/>
      <c r="U1" s="1"/>
      <c r="V1" s="1"/>
      <c r="W1" s="1"/>
    </row>
    <row r="2" spans="1:23" ht="45.6" customHeight="1" x14ac:dyDescent="0.2">
      <c r="A2" s="540"/>
      <c r="B2" s="540"/>
      <c r="C2" s="540"/>
      <c r="D2" s="540"/>
      <c r="E2" s="540"/>
      <c r="F2" s="540"/>
      <c r="G2" s="540"/>
      <c r="H2" s="540"/>
      <c r="I2" s="540"/>
      <c r="J2" s="540"/>
      <c r="K2" s="540"/>
      <c r="L2" s="540"/>
      <c r="M2" s="540"/>
      <c r="N2" s="540"/>
      <c r="O2" s="540"/>
      <c r="P2" s="540"/>
      <c r="Q2" s="540"/>
      <c r="R2" s="540"/>
      <c r="S2" s="540"/>
      <c r="T2" s="540"/>
      <c r="U2" s="1"/>
      <c r="V2" s="1"/>
      <c r="W2" s="1"/>
    </row>
    <row r="3" spans="1:23" ht="79.5" customHeight="1" x14ac:dyDescent="0.2">
      <c r="A3" s="1"/>
      <c r="B3" s="667" t="s">
        <v>245</v>
      </c>
      <c r="C3" s="667"/>
      <c r="D3" s="667"/>
      <c r="E3" s="194">
        <f>Overview!E16</f>
        <v>0</v>
      </c>
      <c r="F3" s="194">
        <f>Overview!E17</f>
        <v>0</v>
      </c>
      <c r="G3" s="1"/>
      <c r="H3" s="191" t="s">
        <v>388</v>
      </c>
      <c r="I3" s="1"/>
      <c r="J3" s="1"/>
      <c r="K3" s="1"/>
      <c r="L3" s="1"/>
      <c r="M3" s="1"/>
      <c r="N3" s="694" t="s">
        <v>536</v>
      </c>
      <c r="O3" s="695"/>
      <c r="P3" s="695"/>
      <c r="Q3" s="695"/>
      <c r="R3" s="696"/>
      <c r="S3" s="243"/>
      <c r="T3" s="1"/>
      <c r="U3" s="172" t="s">
        <v>294</v>
      </c>
      <c r="V3" s="172">
        <v>3</v>
      </c>
      <c r="W3" s="1"/>
    </row>
    <row r="4" spans="1:23" ht="65.45" customHeight="1" x14ac:dyDescent="0.2">
      <c r="A4" s="91" t="s">
        <v>277</v>
      </c>
      <c r="B4" s="91" t="s">
        <v>278</v>
      </c>
      <c r="C4" s="97" t="s">
        <v>390</v>
      </c>
      <c r="D4" s="97" t="s">
        <v>13</v>
      </c>
      <c r="E4" s="542" t="s">
        <v>14</v>
      </c>
      <c r="F4" s="543"/>
      <c r="G4" s="91" t="s">
        <v>279</v>
      </c>
      <c r="H4" s="91" t="s">
        <v>15</v>
      </c>
      <c r="I4" s="91" t="s">
        <v>280</v>
      </c>
      <c r="J4" s="91" t="s">
        <v>391</v>
      </c>
      <c r="K4" s="91" t="s">
        <v>392</v>
      </c>
      <c r="L4" s="91" t="s">
        <v>393</v>
      </c>
      <c r="M4" s="91" t="s">
        <v>394</v>
      </c>
      <c r="N4" s="91" t="s">
        <v>395</v>
      </c>
      <c r="O4" s="91" t="s">
        <v>396</v>
      </c>
      <c r="P4" s="91" t="s">
        <v>397</v>
      </c>
      <c r="Q4" s="97" t="s">
        <v>284</v>
      </c>
      <c r="R4" s="91" t="s">
        <v>54</v>
      </c>
      <c r="S4" s="190" t="s">
        <v>537</v>
      </c>
      <c r="T4" s="190" t="s">
        <v>285</v>
      </c>
      <c r="U4" s="173" t="s">
        <v>295</v>
      </c>
      <c r="V4" s="172">
        <v>2</v>
      </c>
      <c r="W4" s="1"/>
    </row>
    <row r="5" spans="1:23" ht="151.5" customHeight="1" x14ac:dyDescent="0.2">
      <c r="A5" s="688" t="s">
        <v>286</v>
      </c>
      <c r="B5" s="256" t="str">
        <f>Matrix!C4</f>
        <v>Greenhouse gas (GHG) emissions from biomass production, transportation and storage (upstream)</v>
      </c>
      <c r="C5" s="257" t="str">
        <f>IF($E$3=0,"No answer given",IF((VLOOKUP(B5,Matrix!$C$4:$M$20,MATCH($E$3,Matrix!$I$3:$M$3,0)+6,0))="x","Yes","No"))</f>
        <v>No answer given</v>
      </c>
      <c r="D5" s="258">
        <v>1</v>
      </c>
      <c r="E5" s="634" t="s">
        <v>551</v>
      </c>
      <c r="F5" s="635"/>
      <c r="G5" s="259"/>
      <c r="H5" s="423" t="str">
        <f>VLOOKUP(B5,'1 - Pre-screening Assessment'!$C$16:$E$32,3,0)</f>
        <v>No answer given</v>
      </c>
      <c r="I5" s="58" cm="1">
        <f t="array" ref="I5">_xlfn.SWITCH(H5,"Low",1,"Medium",2,"High",3,"No answer given",0)</f>
        <v>0</v>
      </c>
      <c r="J5" s="58">
        <f t="shared" ref="J5:J8" si="0">I5</f>
        <v>0</v>
      </c>
      <c r="K5" s="58">
        <f>J5</f>
        <v>0</v>
      </c>
      <c r="L5" s="58">
        <v>3</v>
      </c>
      <c r="M5" s="58">
        <v>3</v>
      </c>
      <c r="N5" s="257" t="str">
        <f>IF(OR(C5="Yes",C5="No answer given"),H5,"N/A")</f>
        <v>No answer given</v>
      </c>
      <c r="O5" s="681" t="str">
        <f>IF(COUNTIF(N5:N8,"No answer given")&gt;0,"No answer given",IF(N8&lt;&gt;"High",IF(SUM(K5:K8)&lt;=(SUM(M5:M8)/3),"Low Risk",IF(SUM(K5:K8)&gt;(SUM(M5:M8)*2/3),"High Risk","Medium Risk")),"High Risk"))</f>
        <v>No answer given</v>
      </c>
      <c r="P5" s="259"/>
      <c r="Q5" s="259"/>
      <c r="R5" s="261" t="s">
        <v>398</v>
      </c>
      <c r="S5" s="259"/>
      <c r="T5" s="259" t="s">
        <v>600</v>
      </c>
      <c r="U5" s="179" t="s">
        <v>296</v>
      </c>
      <c r="V5" s="173">
        <v>1</v>
      </c>
      <c r="W5" s="1"/>
    </row>
    <row r="6" spans="1:23" ht="111.75" customHeight="1" x14ac:dyDescent="0.2">
      <c r="A6" s="689"/>
      <c r="B6" s="670" t="str">
        <f>Matrix!C5</f>
        <v>GHG emissions from biomass utilization (combustion)</v>
      </c>
      <c r="C6" s="655" t="str">
        <f>IF($E$3=0,"No answer given",IF((VLOOKUP(B6,Matrix!$C$4:$M$20,MATCH($E$3,Matrix!$I$3:$M$3,0)+6,0))="x","Yes","No"))</f>
        <v>No answer given</v>
      </c>
      <c r="D6" s="262">
        <v>2</v>
      </c>
      <c r="E6" s="259" t="s">
        <v>297</v>
      </c>
      <c r="F6" s="263" t="s">
        <v>659</v>
      </c>
      <c r="G6" s="264"/>
      <c r="H6" s="265"/>
      <c r="I6" s="58" cm="1">
        <f t="array" ref="I6">IF(ISBLANK(H6),0,_xlfn.SWITCH(H6,"A",2,"D",2,"B",1,"C",0))</f>
        <v>0</v>
      </c>
      <c r="J6" s="61">
        <f t="shared" si="0"/>
        <v>0</v>
      </c>
      <c r="K6" s="583">
        <f>IF(C6="Yes",SUM(J6:J7),SUM(J6:J7)*0)</f>
        <v>0</v>
      </c>
      <c r="L6" s="134">
        <v>2</v>
      </c>
      <c r="M6" s="672">
        <f>IF(C6="Yes",SUM(L6:L7),SUM(L6:L7)*0)</f>
        <v>0</v>
      </c>
      <c r="N6" s="673" t="str" cm="1">
        <f t="array" ref="N6">IF(C6="Yes",IF(OR(ISBLANK(H6:H7)),"No answer given",IF(SUM(J6:J7)&lt;=(SUM(L6:L7)/3),"Low",IF(SUM(J6:J7)&gt;(SUM(L6:L7)*2/3),"High","Medium"))),IF(C6="No","N/A","No answer given"))</f>
        <v>No answer given</v>
      </c>
      <c r="O6" s="682"/>
      <c r="P6" s="266" t="s">
        <v>299</v>
      </c>
      <c r="Q6" s="308"/>
      <c r="R6" s="266"/>
      <c r="S6" s="261"/>
      <c r="T6" s="687" t="s">
        <v>601</v>
      </c>
      <c r="U6" s="180" t="s">
        <v>302</v>
      </c>
      <c r="V6" s="173">
        <v>0</v>
      </c>
      <c r="W6" s="1"/>
    </row>
    <row r="7" spans="1:23" ht="178.5" customHeight="1" x14ac:dyDescent="0.2">
      <c r="A7" s="689"/>
      <c r="B7" s="671"/>
      <c r="C7" s="656"/>
      <c r="D7" s="271">
        <v>3</v>
      </c>
      <c r="E7" s="259" t="s">
        <v>399</v>
      </c>
      <c r="F7" s="272" t="s">
        <v>436</v>
      </c>
      <c r="G7" s="266"/>
      <c r="H7" s="265"/>
      <c r="I7" s="58" cm="1">
        <f t="array" ref="I7">IF(ISBLANK(H7),0,_xlfn.SWITCH(H7,"A",1,"C",1,"B",0))</f>
        <v>0</v>
      </c>
      <c r="J7" s="61">
        <f t="shared" si="0"/>
        <v>0</v>
      </c>
      <c r="K7" s="585"/>
      <c r="L7" s="134">
        <v>1</v>
      </c>
      <c r="M7" s="557"/>
      <c r="N7" s="674"/>
      <c r="O7" s="682"/>
      <c r="P7" s="266"/>
      <c r="Q7" s="308"/>
      <c r="R7" s="266" t="s">
        <v>660</v>
      </c>
      <c r="S7" s="273" t="s">
        <v>538</v>
      </c>
      <c r="T7" s="687"/>
      <c r="U7" s="209" t="s">
        <v>502</v>
      </c>
      <c r="V7" s="57"/>
      <c r="W7" s="1"/>
    </row>
    <row r="8" spans="1:23" ht="409.5" customHeight="1" x14ac:dyDescent="0.2">
      <c r="A8" s="690"/>
      <c r="B8" s="269" t="str">
        <f>Matrix!C6</f>
        <v>Impact on carbon sinks (such as deforestation)</v>
      </c>
      <c r="C8" s="274" t="str">
        <f>IF($E$3=0,"No answer given",IF((VLOOKUP(B8,Matrix!$C$4:$M$20,MATCH($E$3,Matrix!$I$3:$M$3,0)+6,0))="x","Yes","No"))</f>
        <v>No answer given</v>
      </c>
      <c r="D8" s="271">
        <v>4</v>
      </c>
      <c r="E8" s="275" t="s">
        <v>400</v>
      </c>
      <c r="F8" s="272" t="s">
        <v>476</v>
      </c>
      <c r="G8" s="276"/>
      <c r="H8" s="265"/>
      <c r="I8" s="58" cm="1">
        <f t="array" ref="I8">IF(ISBLANK(H8),0,_xlfn.SWITCH(H8,"A",3,"D",3,"B",2,"C",1))</f>
        <v>0</v>
      </c>
      <c r="J8" s="99">
        <f t="shared" si="0"/>
        <v>0</v>
      </c>
      <c r="K8" s="99">
        <f t="shared" ref="K8:K11" si="1">IF(C8="Yes",SUM(J8),SUM(J8)*0)</f>
        <v>0</v>
      </c>
      <c r="L8" s="134">
        <v>3</v>
      </c>
      <c r="M8" s="134">
        <f>IF(C8="Yes",SUM(L8),SUM(L8)*0)</f>
        <v>0</v>
      </c>
      <c r="N8" s="203" t="str">
        <f>IF(C8="Yes",IF(ISBLANK(H8),"No answer given",IF(J8&lt;=SUM(L8)/3,"Low",IF(SUM(J8)&gt;(SUM(L8)*2/3),"High","Medium"))),IF(C8="No","N/A","No answer given"))</f>
        <v>No answer given</v>
      </c>
      <c r="O8" s="682"/>
      <c r="P8" s="277" t="s">
        <v>308</v>
      </c>
      <c r="Q8" s="309"/>
      <c r="R8" s="266" t="s">
        <v>669</v>
      </c>
      <c r="S8" s="273" t="s">
        <v>67</v>
      </c>
      <c r="T8" s="268" t="s">
        <v>602</v>
      </c>
      <c r="U8" s="57" t="s">
        <v>290</v>
      </c>
      <c r="V8" s="57" t="s">
        <v>290</v>
      </c>
      <c r="W8" s="1"/>
    </row>
    <row r="9" spans="1:23" ht="336" customHeight="1" x14ac:dyDescent="0.2">
      <c r="A9" s="380" t="s">
        <v>437</v>
      </c>
      <c r="B9" s="280" t="str">
        <f>Matrix!C7</f>
        <v>Loss of natural habitats causing loss of biodiversity (such as deforestation) from land-use change (LUC) and indirect land-use change (ILUC)</v>
      </c>
      <c r="C9" s="274" t="str">
        <f>IF($E$3=0,"No answer given",IF((VLOOKUP(B9,Matrix!$C$4:$M$20,MATCH($E$3,Matrix!$I$3:$M$3,0)+6,0))="x","Yes","No"))</f>
        <v>No answer given</v>
      </c>
      <c r="D9" s="271">
        <v>5</v>
      </c>
      <c r="E9" s="275" t="s">
        <v>401</v>
      </c>
      <c r="F9" s="281" t="s">
        <v>477</v>
      </c>
      <c r="G9" s="282"/>
      <c r="H9" s="265"/>
      <c r="I9" s="58" cm="1">
        <f t="array" ref="I9">IF(ISBLANK(H9),0,_xlfn.SWITCH(H9,"A",3,"D",3,"B",2,"C",1))</f>
        <v>0</v>
      </c>
      <c r="J9" s="99">
        <f>I9</f>
        <v>0</v>
      </c>
      <c r="K9" s="99">
        <f t="shared" si="1"/>
        <v>0</v>
      </c>
      <c r="L9" s="135">
        <v>3</v>
      </c>
      <c r="M9" s="134">
        <f>IF(C9="Yes",SUM(L9),SUM(L9)*0)</f>
        <v>0</v>
      </c>
      <c r="N9" s="203" t="str">
        <f t="shared" ref="N9:N10" si="2">IF(C9="Yes",IF(ISBLANK(H9),"No answer given",IF(J9&lt;=SUM(L9)/3,"Low",IF(SUM(J9)&gt;(SUM(L9)*2/3),"High","Medium"))),IF(C9="No","N/A","No answer given"))</f>
        <v>No answer given</v>
      </c>
      <c r="O9" s="639" t="str">
        <f>IF(COUNTIF(N9:N12,"No answer given")&gt;0,"No answer given",IF(N9&lt;&gt;"High",(IF(SUM(K9:K12)&lt;=(SUM(M9:M12)/3),"Low Risk",IF(SUM(K9:K12)&gt;(SUM(M9:M12)*2/3),"High Risk","Medium Risk"))),"High Risk"))</f>
        <v>No answer given</v>
      </c>
      <c r="P9" s="283" t="s">
        <v>662</v>
      </c>
      <c r="Q9" s="310"/>
      <c r="R9" s="266" t="s">
        <v>554</v>
      </c>
      <c r="S9" s="273" t="s">
        <v>543</v>
      </c>
      <c r="T9" s="275" t="s">
        <v>603</v>
      </c>
      <c r="U9" s="51" t="s">
        <v>289</v>
      </c>
      <c r="V9" s="51" t="s">
        <v>402</v>
      </c>
      <c r="W9" s="1"/>
    </row>
    <row r="10" spans="1:23" ht="313.5" customHeight="1" x14ac:dyDescent="0.2">
      <c r="A10" s="381"/>
      <c r="B10" s="286" t="str">
        <f>Matrix!C8</f>
        <v>Loss of biodiversity due to increased use of chemicals (pesticides, herbicides, etc.)</v>
      </c>
      <c r="C10" s="274" t="str">
        <f>IF($E$3=0,"No answer given",IF((VLOOKUP(B10,Matrix!$C$4:$M$20,MATCH($E$3,Matrix!$I$3:$M$3,0)+6,0))="x","Yes","No"))</f>
        <v>No answer given</v>
      </c>
      <c r="D10" s="271">
        <v>6</v>
      </c>
      <c r="E10" s="275" t="s">
        <v>316</v>
      </c>
      <c r="F10" s="261" t="s">
        <v>623</v>
      </c>
      <c r="G10" s="261"/>
      <c r="H10" s="265"/>
      <c r="I10" s="58" cm="1">
        <f t="array" ref="I10">IF(ISBLANK(H10),0,_xlfn.SWITCH(H10,"A",3,"E",3,"B",2,"C",1,"D",0))</f>
        <v>0</v>
      </c>
      <c r="J10" s="99">
        <f t="shared" ref="J10:J16" si="3">I10</f>
        <v>0</v>
      </c>
      <c r="K10" s="99">
        <f t="shared" si="1"/>
        <v>0</v>
      </c>
      <c r="L10" s="135">
        <v>3</v>
      </c>
      <c r="M10" s="134">
        <f>IF(C10="Yes",SUM(L10),SUM(L10)*0)</f>
        <v>0</v>
      </c>
      <c r="N10" s="203" t="str">
        <f t="shared" si="2"/>
        <v>No answer given</v>
      </c>
      <c r="O10" s="639"/>
      <c r="P10" s="283" t="s">
        <v>318</v>
      </c>
      <c r="Q10" s="310"/>
      <c r="R10" s="266" t="s">
        <v>553</v>
      </c>
      <c r="S10" s="273" t="s">
        <v>539</v>
      </c>
      <c r="T10" s="275" t="s">
        <v>604</v>
      </c>
      <c r="U10" s="51" t="s">
        <v>403</v>
      </c>
      <c r="V10" s="51" t="s">
        <v>289</v>
      </c>
      <c r="W10" s="1"/>
    </row>
    <row r="11" spans="1:23" ht="185.25" customHeight="1" x14ac:dyDescent="0.2">
      <c r="A11" s="381"/>
      <c r="B11" s="286" t="str">
        <f>Matrix!C9</f>
        <v>Water consumption for biomass production</v>
      </c>
      <c r="C11" s="274" t="str">
        <f>IF($E$3=0,"No answer given",IF((VLOOKUP(B11,Matrix!$C$4:$M$20,MATCH($E$3,Matrix!$I$3:$M$3,0)+6,0))="x","Yes","No"))</f>
        <v>No answer given</v>
      </c>
      <c r="D11" s="271">
        <v>7</v>
      </c>
      <c r="E11" s="275" t="s">
        <v>404</v>
      </c>
      <c r="F11" s="288" t="s">
        <v>546</v>
      </c>
      <c r="G11" s="266"/>
      <c r="H11" s="265"/>
      <c r="I11" s="289" cm="1">
        <f t="array" ref="I11">IF(ISBLANK(H11),0,_xlfn.SWITCH(H11,"A",3,"E",3,"B",2,"C",1,"D",0))</f>
        <v>0</v>
      </c>
      <c r="J11" s="61">
        <f t="shared" si="3"/>
        <v>0</v>
      </c>
      <c r="K11" s="99">
        <f t="shared" si="1"/>
        <v>0</v>
      </c>
      <c r="L11" s="135">
        <v>3</v>
      </c>
      <c r="M11" s="134">
        <f>IF(C11="Yes",SUM(L11),SUM(L11)*0)</f>
        <v>0</v>
      </c>
      <c r="N11" s="203" t="str">
        <f>IF(C11="Yes",IF(ISBLANK(H11),"No answer given",IF(J11&lt;=SUM(L11)/3,"Low",IF(SUM(J11)&gt;(SUM(L11)*2/3),"High","Medium"))),IF(C11="No","N/A","No answer given"))</f>
        <v>No answer given</v>
      </c>
      <c r="O11" s="639"/>
      <c r="P11" s="283"/>
      <c r="Q11" s="310"/>
      <c r="R11" s="266" t="s">
        <v>555</v>
      </c>
      <c r="S11" s="273" t="s">
        <v>80</v>
      </c>
      <c r="T11" s="275" t="s">
        <v>605</v>
      </c>
      <c r="U11" s="51"/>
      <c r="V11" s="51" t="s">
        <v>403</v>
      </c>
      <c r="W11" s="1"/>
    </row>
    <row r="12" spans="1:23" ht="114.75" customHeight="1" x14ac:dyDescent="0.2">
      <c r="A12" s="381"/>
      <c r="B12" s="290" t="str">
        <f>Matrix!C10</f>
        <v>Water &amp; soil contamination</v>
      </c>
      <c r="C12" s="274" t="str">
        <f>IF($E$3=0,"No answer given",IF((VLOOKUP(B12,Matrix!$C$4:$M$20,MATCH($E$3,Matrix!$I$3:$M$3,0)+6,0))="x","Yes","No"))</f>
        <v>No answer given</v>
      </c>
      <c r="D12" s="291">
        <v>8</v>
      </c>
      <c r="E12" s="634" t="s">
        <v>551</v>
      </c>
      <c r="F12" s="635"/>
      <c r="G12" s="266"/>
      <c r="H12" s="423" t="str">
        <f>VLOOKUP(B12,'1 - Pre-screening Assessment'!$C$16:$E$32,3,0)</f>
        <v>No answer given</v>
      </c>
      <c r="I12" s="58" cm="1">
        <f t="array" ref="I12">_xlfn.SWITCH(H12,"Low",1,"Medium",2,"High",3,"No answer given",0)</f>
        <v>0</v>
      </c>
      <c r="J12" s="58">
        <f t="shared" si="3"/>
        <v>0</v>
      </c>
      <c r="K12" s="58">
        <f>J12</f>
        <v>0</v>
      </c>
      <c r="L12" s="58">
        <v>3</v>
      </c>
      <c r="M12" s="58">
        <v>3</v>
      </c>
      <c r="N12" s="257" t="str">
        <f>IF(OR(C12="Yes",C12="No answer given"),H12,"N/A")</f>
        <v>No answer given</v>
      </c>
      <c r="O12" s="639"/>
      <c r="P12" s="283"/>
      <c r="Q12" s="310"/>
      <c r="R12" s="261" t="s">
        <v>398</v>
      </c>
      <c r="S12" s="261"/>
      <c r="T12" s="275" t="s">
        <v>606</v>
      </c>
      <c r="U12" s="1"/>
      <c r="V12" s="1"/>
      <c r="W12" s="1"/>
    </row>
    <row r="13" spans="1:23" ht="202.5" customHeight="1" x14ac:dyDescent="0.2">
      <c r="A13" s="691" t="s">
        <v>271</v>
      </c>
      <c r="B13" s="292" t="str">
        <f>Matrix!C11</f>
        <v>Open field burning of agricultural waste and wildfires</v>
      </c>
      <c r="C13" s="274" t="str">
        <f>IF($E$3=0,"No answer given",IF((VLOOKUP(B13,Matrix!$C$4:$M$20,MATCH($E$3,Matrix!$I$3:$M$3,0)+6,0))="x","Yes","No"))</f>
        <v>No answer given</v>
      </c>
      <c r="D13" s="271">
        <v>9</v>
      </c>
      <c r="E13" s="275" t="s">
        <v>663</v>
      </c>
      <c r="F13" s="266" t="s">
        <v>478</v>
      </c>
      <c r="G13" s="266" t="s">
        <v>289</v>
      </c>
      <c r="H13" s="265"/>
      <c r="I13" s="58">
        <f>IF(ISBLANK(H13),0,IF(H13=G13,0,2))</f>
        <v>0</v>
      </c>
      <c r="J13" s="62">
        <f t="shared" si="3"/>
        <v>0</v>
      </c>
      <c r="K13" s="61">
        <f t="shared" ref="K13" si="4">IF(C13="Yes",SUM(J13),SUM(J13)*0)</f>
        <v>0</v>
      </c>
      <c r="L13" s="239">
        <v>2</v>
      </c>
      <c r="M13" s="135">
        <f t="shared" ref="M13" si="5">IF(C13="Yes",SUM(L13),SUM(L13)*0)</f>
        <v>0</v>
      </c>
      <c r="N13" s="203" t="str">
        <f>IF(C13="Yes",IF(ISBLANK(H13),"No answer given",IF(J13&lt;=SUM(L13)/3,"Low",IF(SUM(J13)&gt;(SUM(L13)*2/3),"High","Medium"))),IF(C13="No","N/A","No answer given"))</f>
        <v>No answer given</v>
      </c>
      <c r="O13" s="681" t="str">
        <f>IF(COUNTIF(N13:N15,"No answer given")&gt;0,"No answer given",IF(SUM(K13:K15)&lt;=(SUM(M13:M15)/3),"Low Risk",IF(SUM(K13:K15)&gt;(SUM(M13:M15)*2/3),"High Risk","Medium Risk")))</f>
        <v>No answer given</v>
      </c>
      <c r="P13" s="266" t="s">
        <v>334</v>
      </c>
      <c r="Q13" s="308"/>
      <c r="R13" s="266"/>
      <c r="S13" s="261"/>
      <c r="T13" s="268" t="s">
        <v>664</v>
      </c>
      <c r="U13" s="51"/>
      <c r="V13" s="51"/>
      <c r="W13" s="1"/>
    </row>
    <row r="14" spans="1:23" ht="153" customHeight="1" x14ac:dyDescent="0.2">
      <c r="A14" s="692"/>
      <c r="B14" s="290" t="str">
        <f>Matrix!C12</f>
        <v>Air contaminants emissions during production processes</v>
      </c>
      <c r="C14" s="274" t="str">
        <f>IF($E$3=0,"No answer given",IF((VLOOKUP(B14,Matrix!$C$4:$M$20,MATCH($E$3,Matrix!$I$3:$M$3,0)+6,0))="x","Yes","No"))</f>
        <v>No answer given</v>
      </c>
      <c r="D14" s="291">
        <v>10</v>
      </c>
      <c r="E14" s="634" t="s">
        <v>551</v>
      </c>
      <c r="F14" s="635"/>
      <c r="G14" s="266"/>
      <c r="H14" s="423" t="str">
        <f>VLOOKUP(B14,'1 - Pre-screening Assessment'!$C$16:$E$32,3,0)</f>
        <v>No answer given</v>
      </c>
      <c r="I14" s="58" cm="1">
        <f t="array" ref="I14">_xlfn.SWITCH(H14,"Low",1,"Medium",2,"High",3,"No answer given",0)</f>
        <v>0</v>
      </c>
      <c r="J14" s="58">
        <f t="shared" si="3"/>
        <v>0</v>
      </c>
      <c r="K14" s="58">
        <f>J14</f>
        <v>0</v>
      </c>
      <c r="L14" s="58">
        <v>3</v>
      </c>
      <c r="M14" s="58">
        <v>3</v>
      </c>
      <c r="N14" s="257" t="str">
        <f>IF(OR(C14="Yes",C14="No answer given"),H14,"N/A")</f>
        <v>No answer given</v>
      </c>
      <c r="O14" s="682"/>
      <c r="P14" s="266"/>
      <c r="Q14" s="308"/>
      <c r="R14" s="266" t="s">
        <v>665</v>
      </c>
      <c r="S14" s="261"/>
      <c r="T14" s="275" t="s">
        <v>607</v>
      </c>
      <c r="U14" s="49"/>
      <c r="V14" s="51"/>
      <c r="W14" s="1"/>
    </row>
    <row r="15" spans="1:23" ht="106.5" customHeight="1" x14ac:dyDescent="0.2">
      <c r="A15" s="693"/>
      <c r="B15" s="290" t="str">
        <f>Matrix!C13</f>
        <v>Air contaminants emissions from biomass combustion</v>
      </c>
      <c r="C15" s="274" t="str">
        <f>IF($E$3=0,"No answer given",IF((VLOOKUP(B15,Matrix!$C$4:$M$20,MATCH($E$3,Matrix!$I$3:$M$3,0)+6,0))="x","Yes","No"))</f>
        <v>No answer given</v>
      </c>
      <c r="D15" s="291">
        <v>11</v>
      </c>
      <c r="E15" s="634" t="s">
        <v>551</v>
      </c>
      <c r="F15" s="635"/>
      <c r="G15" s="266"/>
      <c r="H15" s="423" t="str">
        <f>VLOOKUP(B15,'1 - Pre-screening Assessment'!$C$16:$E$32,3,0)</f>
        <v>No answer given</v>
      </c>
      <c r="I15" s="58" cm="1">
        <f t="array" ref="I15">_xlfn.SWITCH(H15,"Low",1,"Medium",2,"High",3,"No answer given",0)</f>
        <v>0</v>
      </c>
      <c r="J15" s="58">
        <f t="shared" si="3"/>
        <v>0</v>
      </c>
      <c r="K15" s="58">
        <f>J15</f>
        <v>0</v>
      </c>
      <c r="L15" s="58">
        <v>3</v>
      </c>
      <c r="M15" s="58">
        <v>3</v>
      </c>
      <c r="N15" s="257" t="str">
        <f>IF(OR(C15="Yes",C15="No answer given"),H15,"N/A")</f>
        <v>No answer given</v>
      </c>
      <c r="O15" s="683"/>
      <c r="P15" s="266"/>
      <c r="Q15" s="308"/>
      <c r="R15" s="266" t="s">
        <v>665</v>
      </c>
      <c r="S15" s="261"/>
      <c r="T15" s="275" t="s">
        <v>487</v>
      </c>
      <c r="U15" s="51"/>
      <c r="V15" s="51"/>
      <c r="W15" s="1"/>
    </row>
    <row r="16" spans="1:23" ht="233.25" customHeight="1" x14ac:dyDescent="0.3">
      <c r="A16" s="684" t="s">
        <v>406</v>
      </c>
      <c r="B16" s="294" t="str">
        <f>Matrix!C14</f>
        <v>Land rights</v>
      </c>
      <c r="C16" s="274" t="str">
        <f>IF($E$3=0,"No answer given",IF((VLOOKUP(B16,Matrix!$C$4:$M$20,MATCH($E$3,Matrix!$I$3:$M$3,0)+6,0))="x","Yes","No"))</f>
        <v>No answer given</v>
      </c>
      <c r="D16" s="271">
        <v>12</v>
      </c>
      <c r="E16" s="275" t="s">
        <v>666</v>
      </c>
      <c r="F16" s="295" t="s">
        <v>478</v>
      </c>
      <c r="G16" s="266" t="s">
        <v>289</v>
      </c>
      <c r="H16" s="265"/>
      <c r="I16" s="58">
        <f>IF(ISBLANK(H16),0,IF(H16=G16,0,2))</f>
        <v>0</v>
      </c>
      <c r="J16" s="198">
        <f t="shared" si="3"/>
        <v>0</v>
      </c>
      <c r="K16" s="99">
        <f t="shared" ref="K16:K18" si="6">IF(C16="Yes",SUM(J16),SUM(J16)*0)</f>
        <v>0</v>
      </c>
      <c r="L16" s="231">
        <v>2</v>
      </c>
      <c r="M16" s="135">
        <f t="shared" ref="M16" si="7">IF(C16="Yes",SUM(L16),SUM(L16)*0)</f>
        <v>0</v>
      </c>
      <c r="N16" s="203" t="str">
        <f>IF(C16="Yes",IF(ISBLANK(H16),"No answer given",IF(J16&lt;=SUM(L16)/3,"Low",IF(SUM(J16)&gt;(SUM(L16)*2/3),"High","Medium"))),IF(C16="No","N/A","No answer given"))</f>
        <v>No answer given</v>
      </c>
      <c r="O16" s="639" t="str">
        <f>IF(COUNTIF(N16:N20,"No answer given")&gt;0,"No answer given",IF(N20&lt;&gt;"High",IF(SUM(K16:K20)&lt;=(SUM(M16:M20)/3),"Low Risk",IF(SUM(K16:K20)&gt;(SUM(M16:M20)*2/3),"High Risk","Medium Risk")),"High Risk"))</f>
        <v>No answer given</v>
      </c>
      <c r="P16" s="296" t="s">
        <v>340</v>
      </c>
      <c r="Q16" s="311"/>
      <c r="R16" s="266" t="s">
        <v>557</v>
      </c>
      <c r="S16" s="273" t="s">
        <v>540</v>
      </c>
      <c r="T16" s="268" t="s">
        <v>608</v>
      </c>
      <c r="U16" s="51"/>
      <c r="V16" s="51"/>
      <c r="W16" s="1"/>
    </row>
    <row r="17" spans="1:23" ht="249.75" customHeight="1" x14ac:dyDescent="0.3">
      <c r="A17" s="684"/>
      <c r="B17" s="294" t="str">
        <f>Matrix!C15</f>
        <v>Community health and safety</v>
      </c>
      <c r="C17" s="274" t="str">
        <f>IF($E$3=0,"No answer given",IF((VLOOKUP(B17,Matrix!$C$4:$M$20,MATCH($E$3,Matrix!$I$3:$M$3,0)+6,0))="x","Yes","No"))</f>
        <v>No answer given</v>
      </c>
      <c r="D17" s="271">
        <v>13</v>
      </c>
      <c r="E17" s="268" t="s">
        <v>407</v>
      </c>
      <c r="F17" s="295" t="s">
        <v>478</v>
      </c>
      <c r="G17" s="266" t="s">
        <v>290</v>
      </c>
      <c r="H17" s="265"/>
      <c r="I17" s="58">
        <f>IF(ISBLANK(H17),0,IF(H17=G17,0,2))</f>
        <v>0</v>
      </c>
      <c r="J17" s="429">
        <f>AVERAGE(I17,I12:I15)</f>
        <v>0</v>
      </c>
      <c r="K17" s="198">
        <f t="shared" si="6"/>
        <v>0</v>
      </c>
      <c r="L17" s="232">
        <v>2</v>
      </c>
      <c r="M17" s="135">
        <f>IF(C17="Yes",SUM(L17),SUM(L17)*0)</f>
        <v>0</v>
      </c>
      <c r="N17" s="203" t="str">
        <f t="shared" ref="N17:N18" si="8">IF(C17="Yes",IF(ISBLANK(H17),"No answer given",IF(J17&lt;=SUM(L17)/3,"Low",IF(SUM(J17)&gt;(SUM(L17)*2/3),"High","Medium"))),IF(C17="No","N/A","No answer given"))</f>
        <v>No answer given</v>
      </c>
      <c r="O17" s="639"/>
      <c r="P17" s="296" t="s">
        <v>345</v>
      </c>
      <c r="Q17" s="311"/>
      <c r="R17" s="266" t="s">
        <v>485</v>
      </c>
      <c r="S17" s="261"/>
      <c r="T17" s="268" t="s">
        <v>592</v>
      </c>
      <c r="U17" s="51"/>
      <c r="V17" s="51"/>
      <c r="W17" s="1"/>
    </row>
    <row r="18" spans="1:23" ht="161.25" customHeight="1" x14ac:dyDescent="0.3">
      <c r="A18" s="685"/>
      <c r="B18" s="294" t="str">
        <f>Matrix!C16</f>
        <v>Decent remuneration and compensation for workers</v>
      </c>
      <c r="C18" s="274" t="str">
        <f>IF($E$3=0,"No answer given",IF((VLOOKUP(B18,Matrix!$C$4:$M$20,MATCH($E$3,Matrix!$I$3:$M$3,0)+6,0))="x","Yes","No"))</f>
        <v>No answer given</v>
      </c>
      <c r="D18" s="271">
        <v>14</v>
      </c>
      <c r="E18" s="268" t="s">
        <v>347</v>
      </c>
      <c r="F18" s="259" t="s">
        <v>348</v>
      </c>
      <c r="G18" s="266"/>
      <c r="H18" s="265"/>
      <c r="I18" s="58" cm="1">
        <f t="array" ref="I18">IF(ISBLANK(H18),0,_xlfn.SWITCH(H18,"Y",0,"Partially",1,"N",2,"Unknown",2))</f>
        <v>0</v>
      </c>
      <c r="J18" s="174">
        <f>I18</f>
        <v>0</v>
      </c>
      <c r="K18" s="174">
        <f t="shared" si="6"/>
        <v>0</v>
      </c>
      <c r="L18" s="233">
        <v>2</v>
      </c>
      <c r="M18" s="135">
        <f>IF(C18="Yes",SUM(L18),SUM(L18)*0)</f>
        <v>0</v>
      </c>
      <c r="N18" s="203" t="str">
        <f t="shared" si="8"/>
        <v>No answer given</v>
      </c>
      <c r="O18" s="639"/>
      <c r="P18" s="296"/>
      <c r="Q18" s="311"/>
      <c r="R18" s="312" t="s">
        <v>350</v>
      </c>
      <c r="S18" s="261"/>
      <c r="T18" s="268" t="s">
        <v>667</v>
      </c>
      <c r="U18" s="51"/>
      <c r="V18" s="51"/>
      <c r="W18" s="1"/>
    </row>
    <row r="19" spans="1:23" ht="163.5" customHeight="1" x14ac:dyDescent="0.3">
      <c r="A19" s="685"/>
      <c r="B19" s="290" t="str">
        <f>Matrix!C17</f>
        <v>Occupational health and safety</v>
      </c>
      <c r="C19" s="274" t="str">
        <f>IF($E$3=0,"No answer given",IF((VLOOKUP(B19,Matrix!$C$4:$M$20,MATCH($E$3,Matrix!$I$3:$M$3,0)+6,0))="x","Yes","No"))</f>
        <v>No answer given</v>
      </c>
      <c r="D19" s="291">
        <v>15</v>
      </c>
      <c r="E19" s="634" t="s">
        <v>551</v>
      </c>
      <c r="F19" s="635"/>
      <c r="G19" s="266"/>
      <c r="H19" s="423" t="str">
        <f>VLOOKUP(B19,'1 - Pre-screening Assessment'!$C$16:$E$32,3,0)</f>
        <v>No answer given</v>
      </c>
      <c r="I19" s="58" cm="1">
        <f t="array" ref="I19">_xlfn.SWITCH(H19,"Low",1,"Medium",2,"High",3,"No answer given",0)</f>
        <v>0</v>
      </c>
      <c r="J19" s="428">
        <f>AVERAGE(I19,I14:I15,I12)</f>
        <v>0</v>
      </c>
      <c r="K19" s="58">
        <f>J19</f>
        <v>0</v>
      </c>
      <c r="L19" s="58">
        <v>2.25</v>
      </c>
      <c r="M19" s="135">
        <f>IF(C19="Yes",SUM(L19),SUM(L19)*0)</f>
        <v>0</v>
      </c>
      <c r="N19" s="257" t="str">
        <f>IF(OR(C19="Yes",C19="No answer given"),H19,"N/A")</f>
        <v>No answer given</v>
      </c>
      <c r="O19" s="639"/>
      <c r="P19" s="296"/>
      <c r="Q19" s="311"/>
      <c r="R19" s="261" t="s">
        <v>398</v>
      </c>
      <c r="S19" s="261"/>
      <c r="T19" s="268" t="s">
        <v>609</v>
      </c>
      <c r="U19" s="51"/>
      <c r="V19" s="51"/>
      <c r="W19" s="1"/>
    </row>
    <row r="20" spans="1:23" ht="199.5" customHeight="1" x14ac:dyDescent="0.3">
      <c r="A20" s="685"/>
      <c r="B20" s="294" t="str">
        <f>Matrix!C18</f>
        <v xml:space="preserve">Human rights, child labor and slavery </v>
      </c>
      <c r="C20" s="274" t="str">
        <f>IF($E$3=0,"No answer given",IF((VLOOKUP(B20,Matrix!$C$4:$M$20,MATCH($E$3,Matrix!$I$3:$M$3,0)+6,0))="x","Yes","No"))</f>
        <v>No answer given</v>
      </c>
      <c r="D20" s="298">
        <v>16</v>
      </c>
      <c r="E20" s="275" t="s">
        <v>408</v>
      </c>
      <c r="F20" s="266" t="s">
        <v>567</v>
      </c>
      <c r="G20" s="266"/>
      <c r="H20" s="293"/>
      <c r="I20" s="289" cm="1">
        <f t="array" ref="I20">IF(ISBLANK(H20),0,_xlfn.SWITCH(H20,"A",3,"D",3,"B",2,"C",1))</f>
        <v>0</v>
      </c>
      <c r="J20" s="61">
        <f t="shared" ref="J20:J28" si="9">I20</f>
        <v>0</v>
      </c>
      <c r="K20" s="174">
        <f>IF(C20="Yes",SUM(J20),SUM(J20)*0)</f>
        <v>0</v>
      </c>
      <c r="L20" s="231">
        <v>3</v>
      </c>
      <c r="M20" s="135">
        <f>IF(C20="Yes",SUM(L20),SUM(L20)*0)</f>
        <v>0</v>
      </c>
      <c r="N20" s="203" t="str">
        <f>IF(C20="Yes",IF(ISBLANK(H20),"No answer given",IF(J20&lt;=SUM(L20)/3,"Low",IF(SUM(J20)&gt;(SUM(L20)*2/3),"High","Medium"))),IF(C20="No","N/A","No answer given"))</f>
        <v>No answer given</v>
      </c>
      <c r="O20" s="639"/>
      <c r="P20" s="296" t="s">
        <v>362</v>
      </c>
      <c r="Q20" s="313"/>
      <c r="R20" s="305" t="s">
        <v>568</v>
      </c>
      <c r="S20" s="268"/>
      <c r="T20" s="268" t="s">
        <v>610</v>
      </c>
      <c r="U20" s="51"/>
      <c r="V20" s="51"/>
      <c r="W20" s="1"/>
    </row>
    <row r="21" spans="1:23" ht="231" customHeight="1" x14ac:dyDescent="0.3">
      <c r="A21" s="686" t="s">
        <v>409</v>
      </c>
      <c r="B21" s="651" t="str">
        <f>Matrix!C19</f>
        <v>Impact on food availability and price</v>
      </c>
      <c r="C21" s="654" t="str">
        <f>IF($E$3=0,"No answer given",IF((VLOOKUP(B21,Matrix!$C$4:$M$20,MATCH($E$3,Matrix!$I$3:$M$3,0)+6,0))="x","Yes","No"))</f>
        <v>No answer given</v>
      </c>
      <c r="D21" s="298">
        <v>17</v>
      </c>
      <c r="E21" s="275" t="s">
        <v>410</v>
      </c>
      <c r="F21" s="295" t="s">
        <v>549</v>
      </c>
      <c r="G21" s="266"/>
      <c r="H21" s="300"/>
      <c r="I21" s="58" cm="1">
        <f t="array" ref="I21">IF(ISBLANK(H21),0,_xlfn.SWITCH(H21,"A",1,"B",2,"C",3,"D",4,"E",5,"F",5))</f>
        <v>0</v>
      </c>
      <c r="J21" s="61">
        <f t="shared" si="9"/>
        <v>0</v>
      </c>
      <c r="K21" s="583">
        <f>IF(C21="Yes",SUM(J21:J27),SUM(J21:J27)*0)</f>
        <v>0</v>
      </c>
      <c r="L21" s="234">
        <v>5</v>
      </c>
      <c r="M21" s="657">
        <f>IF(C21="Yes",SUM(L21:L27),SUM(L21:L27)*0)</f>
        <v>0</v>
      </c>
      <c r="N21" s="646" t="str" cm="1">
        <f t="array" ref="N21">IF(C21="Yes",IF(OR(ISBLANK(H21:H27)),"No answer Given",IF(SUM(J21:J27)&lt;=(SUM(L21:L27)/3),"Low",IF(SUM(J21:J27)&gt;(SUM(L21:L27)*2/3),"High","Medium"))),IF(C21="No","N/A","No answer given"))</f>
        <v>No answer given</v>
      </c>
      <c r="O21" s="639" t="str">
        <f>IF(COUNTIF(N21:N28,"No answer given")&gt;0,"No answer given",IF(N21="High","High Risk",IF(SUM(K21:K28)&lt;=(SUM(M21:M28)/3),"Low Risk",IF(SUM(K21:K28)&gt;(SUM(M21:M28)*2/3),"High Risk","Medium Risk"))))</f>
        <v>No answer given</v>
      </c>
      <c r="P21" s="296" t="s">
        <v>657</v>
      </c>
      <c r="Q21" s="311"/>
      <c r="R21" s="640" t="s">
        <v>558</v>
      </c>
      <c r="S21" s="647" t="s">
        <v>541</v>
      </c>
      <c r="T21" s="687" t="s">
        <v>611</v>
      </c>
      <c r="U21" s="51"/>
      <c r="V21" s="51"/>
      <c r="W21" s="1"/>
    </row>
    <row r="22" spans="1:23" ht="72.75" customHeight="1" x14ac:dyDescent="0.2">
      <c r="A22" s="686"/>
      <c r="B22" s="652"/>
      <c r="C22" s="655"/>
      <c r="D22" s="658">
        <v>18</v>
      </c>
      <c r="E22" s="275" t="s">
        <v>571</v>
      </c>
      <c r="F22" s="661" t="s">
        <v>503</v>
      </c>
      <c r="G22" s="282" t="s">
        <v>289</v>
      </c>
      <c r="H22" s="300"/>
      <c r="I22" s="58">
        <f t="shared" ref="I22:I27" si="10">IF(ISBLANK(H22),0,IF(H22=G22,0,1))</f>
        <v>0</v>
      </c>
      <c r="J22" s="61">
        <f t="shared" si="9"/>
        <v>0</v>
      </c>
      <c r="K22" s="584"/>
      <c r="L22" s="234">
        <v>1</v>
      </c>
      <c r="M22" s="657"/>
      <c r="N22" s="646"/>
      <c r="O22" s="639"/>
      <c r="P22" s="640" t="s">
        <v>371</v>
      </c>
      <c r="Q22" s="314"/>
      <c r="R22" s="641"/>
      <c r="S22" s="648"/>
      <c r="T22" s="687"/>
      <c r="U22" s="51"/>
      <c r="V22" s="51"/>
      <c r="W22" s="1"/>
    </row>
    <row r="23" spans="1:23" ht="90" customHeight="1" x14ac:dyDescent="0.2">
      <c r="A23" s="686"/>
      <c r="B23" s="652"/>
      <c r="C23" s="655"/>
      <c r="D23" s="659"/>
      <c r="E23" s="275" t="s">
        <v>572</v>
      </c>
      <c r="F23" s="662"/>
      <c r="G23" s="303" t="s">
        <v>289</v>
      </c>
      <c r="H23" s="300"/>
      <c r="I23" s="58">
        <f t="shared" si="10"/>
        <v>0</v>
      </c>
      <c r="J23" s="61">
        <f t="shared" si="9"/>
        <v>0</v>
      </c>
      <c r="K23" s="584"/>
      <c r="L23" s="234">
        <v>1</v>
      </c>
      <c r="M23" s="657"/>
      <c r="N23" s="646"/>
      <c r="O23" s="639"/>
      <c r="P23" s="641"/>
      <c r="Q23" s="314"/>
      <c r="R23" s="641"/>
      <c r="S23" s="648"/>
      <c r="T23" s="687"/>
      <c r="U23" s="51"/>
      <c r="V23" s="51"/>
      <c r="W23" s="1"/>
    </row>
    <row r="24" spans="1:23" ht="60" customHeight="1" x14ac:dyDescent="0.2">
      <c r="A24" s="686"/>
      <c r="B24" s="652"/>
      <c r="C24" s="655"/>
      <c r="D24" s="660"/>
      <c r="E24" s="275" t="s">
        <v>373</v>
      </c>
      <c r="F24" s="663"/>
      <c r="G24" s="304" t="s">
        <v>289</v>
      </c>
      <c r="H24" s="300"/>
      <c r="I24" s="58">
        <f t="shared" si="10"/>
        <v>0</v>
      </c>
      <c r="J24" s="61">
        <f t="shared" si="9"/>
        <v>0</v>
      </c>
      <c r="K24" s="584"/>
      <c r="L24" s="234">
        <v>1</v>
      </c>
      <c r="M24" s="657"/>
      <c r="N24" s="646"/>
      <c r="O24" s="639"/>
      <c r="P24" s="642"/>
      <c r="Q24" s="314"/>
      <c r="R24" s="641"/>
      <c r="S24" s="648"/>
      <c r="T24" s="687"/>
      <c r="U24" s="51"/>
      <c r="V24" s="51"/>
      <c r="W24" s="1"/>
    </row>
    <row r="25" spans="1:23" ht="72.75" customHeight="1" x14ac:dyDescent="0.2">
      <c r="A25" s="686"/>
      <c r="B25" s="652"/>
      <c r="C25" s="655"/>
      <c r="D25" s="658">
        <v>19</v>
      </c>
      <c r="E25" s="275" t="s">
        <v>570</v>
      </c>
      <c r="F25" s="664" t="s">
        <v>503</v>
      </c>
      <c r="G25" s="282" t="s">
        <v>289</v>
      </c>
      <c r="H25" s="300"/>
      <c r="I25" s="58">
        <f t="shared" si="10"/>
        <v>0</v>
      </c>
      <c r="J25" s="61">
        <f t="shared" si="9"/>
        <v>0</v>
      </c>
      <c r="K25" s="584"/>
      <c r="L25" s="234">
        <v>1</v>
      </c>
      <c r="M25" s="657"/>
      <c r="N25" s="646"/>
      <c r="O25" s="639"/>
      <c r="P25" s="643" t="s">
        <v>371</v>
      </c>
      <c r="Q25" s="204"/>
      <c r="R25" s="641"/>
      <c r="S25" s="648"/>
      <c r="T25" s="687"/>
      <c r="U25" s="51"/>
      <c r="V25" s="51"/>
      <c r="W25" s="1"/>
    </row>
    <row r="26" spans="1:23" ht="86.25" customHeight="1" x14ac:dyDescent="0.2">
      <c r="A26" s="686"/>
      <c r="B26" s="652"/>
      <c r="C26" s="655"/>
      <c r="D26" s="659"/>
      <c r="E26" s="275" t="s">
        <v>569</v>
      </c>
      <c r="F26" s="665"/>
      <c r="G26" s="303" t="s">
        <v>289</v>
      </c>
      <c r="H26" s="300"/>
      <c r="I26" s="58">
        <f t="shared" si="10"/>
        <v>0</v>
      </c>
      <c r="J26" s="61">
        <f t="shared" si="9"/>
        <v>0</v>
      </c>
      <c r="K26" s="584"/>
      <c r="L26" s="234">
        <v>1</v>
      </c>
      <c r="M26" s="657"/>
      <c r="N26" s="646"/>
      <c r="O26" s="639"/>
      <c r="P26" s="644"/>
      <c r="Q26" s="204"/>
      <c r="R26" s="641"/>
      <c r="S26" s="648"/>
      <c r="T26" s="687"/>
      <c r="U26" s="1"/>
      <c r="V26" s="1"/>
      <c r="W26" s="1"/>
    </row>
    <row r="27" spans="1:23" ht="66.75" customHeight="1" x14ac:dyDescent="0.2">
      <c r="A27" s="686"/>
      <c r="B27" s="653"/>
      <c r="C27" s="656"/>
      <c r="D27" s="660"/>
      <c r="E27" s="275" t="s">
        <v>376</v>
      </c>
      <c r="F27" s="666"/>
      <c r="G27" s="304" t="s">
        <v>289</v>
      </c>
      <c r="H27" s="300"/>
      <c r="I27" s="58">
        <f t="shared" si="10"/>
        <v>0</v>
      </c>
      <c r="J27" s="61">
        <f t="shared" si="9"/>
        <v>0</v>
      </c>
      <c r="K27" s="585"/>
      <c r="L27" s="234">
        <v>1</v>
      </c>
      <c r="M27" s="657"/>
      <c r="N27" s="646"/>
      <c r="O27" s="639"/>
      <c r="P27" s="645"/>
      <c r="Q27" s="204"/>
      <c r="R27" s="642"/>
      <c r="S27" s="649"/>
      <c r="T27" s="687"/>
      <c r="U27" s="1"/>
      <c r="V27" s="1"/>
      <c r="W27" s="1"/>
    </row>
    <row r="28" spans="1:23" ht="295.5" customHeight="1" x14ac:dyDescent="0.2">
      <c r="A28" s="686"/>
      <c r="B28" s="301" t="str">
        <f>Matrix!C20</f>
        <v>Increased and equitable share of revenues &amp; employment opportunities for local communities development</v>
      </c>
      <c r="C28" s="270" t="str">
        <f>IF($E$3=0,"No answer given",IF((VLOOKUP(B28,Matrix!$C$4:$M$20,MATCH($E$3,Matrix!$I$3:$M$3,0)+6,0))="x","Yes","No"))</f>
        <v>No answer given</v>
      </c>
      <c r="D28" s="298">
        <v>20</v>
      </c>
      <c r="E28" s="275" t="s">
        <v>433</v>
      </c>
      <c r="F28" s="266" t="s">
        <v>547</v>
      </c>
      <c r="G28" s="266" t="s">
        <v>295</v>
      </c>
      <c r="H28" s="300"/>
      <c r="I28" s="58">
        <f>IF(ISBLANK(H28),0,IF(H28=G28,0,2))</f>
        <v>0</v>
      </c>
      <c r="J28" s="61">
        <f t="shared" si="9"/>
        <v>0</v>
      </c>
      <c r="K28" s="157">
        <f>IF(C28="Yes",SUM(J28),SUM(J28)*0)</f>
        <v>0</v>
      </c>
      <c r="L28" s="234">
        <v>3</v>
      </c>
      <c r="M28" s="235">
        <f>IF(C28="Yes",SUM(L28),SUM(L28)*0)</f>
        <v>0</v>
      </c>
      <c r="N28" s="203" t="str">
        <f>IF(C28="Yes",IF(ISBLANK(H28),"No answer given",IF(J28&lt;=SUM(L28)/3,"Low",IF(SUM(J28)&gt;(SUM(L28)*2/3),"High","Medium"))),IF(C28="No","N/A","No answer given"))</f>
        <v>No answer given</v>
      </c>
      <c r="O28" s="639"/>
      <c r="P28" s="266" t="s">
        <v>382</v>
      </c>
      <c r="Q28" s="308"/>
      <c r="R28" s="266" t="s">
        <v>668</v>
      </c>
      <c r="S28" s="273" t="s">
        <v>542</v>
      </c>
      <c r="T28" s="268" t="s">
        <v>658</v>
      </c>
      <c r="U28" s="1"/>
      <c r="V28" s="1"/>
      <c r="W28" s="1"/>
    </row>
    <row r="29" spans="1:23" ht="30" customHeight="1" x14ac:dyDescent="0.2">
      <c r="A29" s="1"/>
      <c r="B29" s="1"/>
      <c r="C29" s="1"/>
      <c r="D29" s="150"/>
      <c r="E29" s="636" t="s">
        <v>458</v>
      </c>
      <c r="F29" s="636"/>
      <c r="G29" s="636"/>
      <c r="H29" s="636"/>
      <c r="I29" s="636"/>
      <c r="J29" s="636"/>
      <c r="K29" s="636"/>
      <c r="L29" s="636"/>
      <c r="M29" s="636"/>
      <c r="N29" s="636"/>
      <c r="O29" s="637"/>
      <c r="P29" s="145"/>
      <c r="Q29" s="145"/>
      <c r="R29" s="1"/>
      <c r="S29" s="1"/>
      <c r="T29" s="1"/>
      <c r="U29" s="1"/>
      <c r="V29" s="1"/>
      <c r="W29" s="1"/>
    </row>
    <row r="30" spans="1:23" ht="30" customHeight="1" x14ac:dyDescent="0.2">
      <c r="A30" s="1"/>
      <c r="B30" s="1"/>
      <c r="C30" s="1"/>
      <c r="D30" s="150"/>
      <c r="E30" s="145"/>
      <c r="F30" s="145"/>
      <c r="G30" s="145"/>
      <c r="H30" s="145"/>
      <c r="I30" s="145"/>
      <c r="J30" s="145"/>
      <c r="K30" s="145"/>
      <c r="L30" s="145"/>
      <c r="M30" s="145"/>
      <c r="N30" s="145"/>
      <c r="O30" s="145"/>
      <c r="P30" s="145"/>
      <c r="Q30" s="145"/>
      <c r="R30" s="1"/>
      <c r="S30" s="1"/>
      <c r="T30" s="1"/>
      <c r="U30" s="1"/>
      <c r="V30" s="1"/>
      <c r="W30" s="1"/>
    </row>
    <row r="31" spans="1:23" x14ac:dyDescent="0.2">
      <c r="A31" s="1"/>
      <c r="B31" s="1"/>
      <c r="C31" s="1"/>
      <c r="D31" s="150"/>
      <c r="E31" s="145"/>
      <c r="F31" s="145"/>
      <c r="G31" s="145"/>
      <c r="H31" s="145"/>
      <c r="I31" s="145"/>
      <c r="J31" s="145"/>
      <c r="K31" s="145"/>
      <c r="L31" s="145"/>
      <c r="M31" s="145"/>
      <c r="N31" s="145"/>
      <c r="O31" s="145"/>
      <c r="P31" s="145"/>
      <c r="Q31" s="145"/>
      <c r="R31" s="1"/>
      <c r="S31" s="1"/>
      <c r="T31" s="1"/>
      <c r="U31" s="1"/>
      <c r="V31" s="1"/>
      <c r="W31" s="1"/>
    </row>
    <row r="32" spans="1:23" x14ac:dyDescent="0.2">
      <c r="A32" s="1"/>
      <c r="B32" s="1"/>
      <c r="C32" s="1"/>
      <c r="D32" s="150"/>
      <c r="E32" s="145"/>
      <c r="F32" s="145"/>
      <c r="G32" s="145"/>
      <c r="H32" s="145"/>
      <c r="I32" s="145"/>
      <c r="J32" s="145"/>
      <c r="K32" s="145"/>
      <c r="L32" s="145"/>
      <c r="M32" s="145"/>
      <c r="N32" s="145"/>
      <c r="O32" s="145"/>
      <c r="P32" s="145"/>
      <c r="Q32" s="145"/>
      <c r="R32" s="1"/>
      <c r="S32" s="1"/>
      <c r="T32" s="1"/>
      <c r="U32" s="1"/>
      <c r="V32" s="1"/>
      <c r="W32" s="1"/>
    </row>
    <row r="33" spans="1:23" x14ac:dyDescent="0.2">
      <c r="A33" s="1"/>
      <c r="B33" s="1"/>
      <c r="C33" s="1"/>
      <c r="D33" s="150"/>
      <c r="E33" s="145"/>
      <c r="F33" s="145"/>
      <c r="G33" s="145"/>
      <c r="H33" s="145"/>
      <c r="I33" s="145"/>
      <c r="J33" s="145"/>
      <c r="K33" s="145"/>
      <c r="L33" s="145"/>
      <c r="M33" s="145"/>
      <c r="N33" s="145"/>
      <c r="O33" s="145"/>
      <c r="P33" s="145"/>
      <c r="Q33" s="145"/>
      <c r="R33" s="1"/>
      <c r="S33" s="1"/>
      <c r="T33" s="1"/>
      <c r="U33" s="1"/>
      <c r="V33" s="1"/>
      <c r="W33" s="1"/>
    </row>
    <row r="34" spans="1:23" x14ac:dyDescent="0.2">
      <c r="A34" s="1"/>
      <c r="B34" s="1"/>
      <c r="C34" s="1"/>
      <c r="D34" s="150"/>
      <c r="E34" s="145"/>
      <c r="F34" s="145"/>
      <c r="G34" s="145"/>
      <c r="H34" s="145"/>
      <c r="I34" s="145"/>
      <c r="J34" s="145"/>
      <c r="K34" s="145"/>
      <c r="L34" s="145"/>
      <c r="M34" s="145"/>
      <c r="N34" s="145"/>
      <c r="O34" s="145"/>
      <c r="P34" s="145"/>
      <c r="Q34" s="145"/>
      <c r="R34" s="1"/>
      <c r="S34" s="1"/>
      <c r="T34" s="1"/>
      <c r="U34" s="1"/>
      <c r="V34" s="1"/>
      <c r="W34" s="1"/>
    </row>
    <row r="35" spans="1:23" x14ac:dyDescent="0.2">
      <c r="A35" s="1"/>
      <c r="B35" s="1"/>
      <c r="C35" s="1"/>
      <c r="D35" s="150"/>
      <c r="E35" s="1"/>
      <c r="F35" s="1"/>
      <c r="G35" s="1"/>
      <c r="H35" s="1"/>
      <c r="I35" s="1"/>
      <c r="J35" s="1"/>
      <c r="K35" s="1"/>
      <c r="L35" s="1"/>
      <c r="M35" s="1"/>
      <c r="N35" s="1"/>
      <c r="O35" s="145"/>
      <c r="P35" s="145"/>
      <c r="Q35" s="145"/>
      <c r="R35" s="1"/>
      <c r="S35" s="1"/>
      <c r="T35" s="1"/>
      <c r="U35" s="1"/>
      <c r="V35" s="1"/>
      <c r="W35" s="1"/>
    </row>
    <row r="36" spans="1:23" x14ac:dyDescent="0.2">
      <c r="U36" s="1"/>
      <c r="V36" s="1"/>
    </row>
  </sheetData>
  <sheetProtection algorithmName="SHA-512" hashValue="25t2g0BsAaNnHPuLRNHIJHS8PxKjIYbwtogTklHIDJb0rKu3t3DRrpFKk8GNNFYs5fn/dcU0WoddT6Tbx4wviQ==" saltValue="SPNFfzKChXAjouEwvpFvpQ==" spinCount="100000" sheet="1" objects="1" scenarios="1"/>
  <protectedRanges>
    <protectedRange sqref="S5:S28" name="Link"/>
    <protectedRange sqref="Q5:Q28" name="User Note"/>
    <protectedRange sqref="H6:H11 H13 H16:H18 H20:H28" name="Input Answer"/>
  </protectedRanges>
  <mergeCells count="39">
    <mergeCell ref="A1:T2"/>
    <mergeCell ref="B3:D3"/>
    <mergeCell ref="E4:F4"/>
    <mergeCell ref="N3:R3"/>
    <mergeCell ref="K6:K7"/>
    <mergeCell ref="M6:M7"/>
    <mergeCell ref="N6:N7"/>
    <mergeCell ref="T6:T7"/>
    <mergeCell ref="R21:R27"/>
    <mergeCell ref="T21:T27"/>
    <mergeCell ref="P22:P24"/>
    <mergeCell ref="P25:P27"/>
    <mergeCell ref="A5:A8"/>
    <mergeCell ref="E5:F5"/>
    <mergeCell ref="O5:O8"/>
    <mergeCell ref="B6:B7"/>
    <mergeCell ref="C6:C7"/>
    <mergeCell ref="O9:O12"/>
    <mergeCell ref="E12:F12"/>
    <mergeCell ref="A13:A15"/>
    <mergeCell ref="O13:O15"/>
    <mergeCell ref="E14:F14"/>
    <mergeCell ref="E15:F15"/>
    <mergeCell ref="E29:O29"/>
    <mergeCell ref="S21:S27"/>
    <mergeCell ref="A16:A20"/>
    <mergeCell ref="O16:O20"/>
    <mergeCell ref="E19:F19"/>
    <mergeCell ref="A21:A28"/>
    <mergeCell ref="B21:B27"/>
    <mergeCell ref="C21:C27"/>
    <mergeCell ref="K21:K27"/>
    <mergeCell ref="M21:M27"/>
    <mergeCell ref="N21:N27"/>
    <mergeCell ref="O21:O28"/>
    <mergeCell ref="D22:D24"/>
    <mergeCell ref="F22:F24"/>
    <mergeCell ref="D25:D27"/>
    <mergeCell ref="F25:F27"/>
  </mergeCells>
  <conditionalFormatting sqref="C5:C28">
    <cfRule type="containsText" dxfId="69" priority="1" operator="containsText" text="No">
      <formula>NOT(ISERROR(SEARCH("No",C5)))</formula>
    </cfRule>
  </conditionalFormatting>
  <conditionalFormatting sqref="O5 O9 O13 O16:O28">
    <cfRule type="containsText" dxfId="65" priority="10" operator="containsText" text="High Risk">
      <formula>NOT(ISERROR(SEARCH("High Risk",O5)))</formula>
    </cfRule>
    <cfRule type="containsText" dxfId="64" priority="11" operator="containsText" text="Medium Risk">
      <formula>NOT(ISERROR(SEARCH("Medium Risk",O5)))</formula>
    </cfRule>
    <cfRule type="containsText" dxfId="63" priority="12" operator="containsText" text="Low Risk">
      <formula>NOT(ISERROR(SEARCH("Low Risk",O5)))</formula>
    </cfRule>
  </conditionalFormatting>
  <conditionalFormatting sqref="T5:T28">
    <cfRule type="expression" dxfId="62" priority="5">
      <formula>OR(N5="Low",N5="N/A",N5="No answer given")</formula>
    </cfRule>
  </conditionalFormatting>
  <dataValidations count="7">
    <dataValidation type="list" allowBlank="1" showInputMessage="1" showErrorMessage="1" sqref="H18" xr:uid="{AA233AA3-57A7-4DE0-9C33-1EF9AADC4FE4}">
      <formula1>$V$8:$V$11</formula1>
    </dataValidation>
    <dataValidation type="list" allowBlank="1" showInputMessage="1" showErrorMessage="1" sqref="H10:H11" xr:uid="{13DD9F31-E6C8-426F-9025-3C169200314E}">
      <formula1>$U$3:$U$7</formula1>
    </dataValidation>
    <dataValidation type="list" allowBlank="1" showInputMessage="1" showErrorMessage="1" sqref="H7" xr:uid="{4EACBB58-D3CE-47AE-9EBE-BC8A7E2C927A}">
      <formula1>$U$3:$U$5</formula1>
    </dataValidation>
    <dataValidation type="list" allowBlank="1" showInputMessage="1" showErrorMessage="1" sqref="H6 H8:H9 H20" xr:uid="{8763E70B-7F24-4E42-95F6-6E03E58AF389}">
      <formula1>$U$3:$U$6</formula1>
    </dataValidation>
    <dataValidation type="list" allowBlank="1" showInputMessage="1" showErrorMessage="1" sqref="H28" xr:uid="{6F8A5EC6-693C-4039-BAF0-40DB4489BCBB}">
      <formula1>"A, B, C"</formula1>
    </dataValidation>
    <dataValidation type="list" allowBlank="1" showInputMessage="1" showErrorMessage="1" sqref="H16:H17 H22:H27 H13" xr:uid="{55DDFAD9-4024-4CFB-879B-3D4F41CE69D0}">
      <formula1>$U$8:$U$10</formula1>
    </dataValidation>
    <dataValidation type="list" allowBlank="1" showInputMessage="1" showErrorMessage="1" sqref="H21" xr:uid="{9FD35DBC-37C8-437B-98D1-5CF233335A67}">
      <formula1>"A,B,C,D,E,F"</formula1>
    </dataValidation>
  </dataValidations>
  <hyperlinks>
    <hyperlink ref="S7" r:id="rId1" xr:uid="{6DFA5464-88AB-41D2-B7D8-5BA45CCBA595}"/>
    <hyperlink ref="S8" r:id="rId2" xr:uid="{FA207BBC-E27F-41AA-A483-6ADD3552CD5B}"/>
    <hyperlink ref="S9" r:id="rId3" display="https://www.protectedplanet.net/en/thematic-areas/wdpa?tab=WDPA" xr:uid="{7E65A212-AC9D-476F-9763-434C22ECDC3A}"/>
    <hyperlink ref="S10" r:id="rId4" xr:uid="{F87C471C-F021-416B-9FA4-A89CDDF987CA}"/>
    <hyperlink ref="S11" r:id="rId5" xr:uid="{0C6B9B2B-1894-4C00-AA35-76413115B333}"/>
    <hyperlink ref="S16" r:id="rId6" xr:uid="{8636D980-CF16-4B70-A55E-8196A80F0077}"/>
    <hyperlink ref="S21" r:id="rId7" xr:uid="{1B5A4423-CCDE-41E9-AFF3-38BB840AB6D5}"/>
    <hyperlink ref="S28" r:id="rId8" location="/indicies/IHDI" xr:uid="{2351B3B0-7B00-44B4-AA84-FED91A13C0D7}"/>
  </hyperlinks>
  <pageMargins left="0.7" right="0.7" top="0.75" bottom="0.75" header="0.3" footer="0.3"/>
  <pageSetup paperSize="9" orientation="portrait" r:id="rId9"/>
  <colBreaks count="1" manualBreakCount="1">
    <brk id="20" max="1048575" man="1"/>
  </colBreaks>
  <drawing r:id="rId10"/>
  <extLst>
    <ext xmlns:x14="http://schemas.microsoft.com/office/spreadsheetml/2009/9/main" uri="{78C0D931-6437-407d-A8EE-F0AAD7539E65}">
      <x14:conditionalFormattings>
        <x14:conditionalFormatting xmlns:xm="http://schemas.microsoft.com/office/excel/2006/main">
          <x14:cfRule type="containsText" priority="2" operator="containsText" id="{D804BC79-8DF6-42E2-B294-5FE9482E05E8}">
            <xm:f>NOT(ISERROR(SEARCH("Low",N5)))</xm:f>
            <xm:f>"Low"</xm:f>
            <x14:dxf>
              <font>
                <b/>
                <i val="0"/>
                <color theme="1"/>
              </font>
              <fill>
                <patternFill>
                  <bgColor theme="9" tint="0.79998168889431442"/>
                </patternFill>
              </fill>
            </x14:dxf>
          </x14:cfRule>
          <x14:cfRule type="containsText" priority="3" operator="containsText" id="{498C3C79-9123-453C-BBAC-EB77F04B7EE0}">
            <xm:f>NOT(ISERROR(SEARCH("High",N5)))</xm:f>
            <xm:f>"High"</xm:f>
            <x14:dxf>
              <font>
                <b/>
                <i val="0"/>
                <color theme="0"/>
              </font>
              <fill>
                <patternFill>
                  <bgColor rgb="FFFF0000"/>
                </patternFill>
              </fill>
            </x14:dxf>
          </x14:cfRule>
          <x14:cfRule type="containsText" priority="4" operator="containsText" id="{9A5296AE-8052-4C19-A54B-60CF8789FF30}">
            <xm:f>NOT(ISERROR(SEARCH("Medium",N5)))</xm:f>
            <xm:f>"Medium"</xm:f>
            <x14:dxf>
              <font>
                <b/>
                <i val="0"/>
                <color theme="1"/>
              </font>
              <fill>
                <patternFill>
                  <bgColor theme="7" tint="0.79998168889431442"/>
                </patternFill>
              </fill>
            </x14:dxf>
          </x14:cfRule>
          <xm:sqref>N5:N28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44</vt:i4>
      </vt:variant>
    </vt:vector>
  </HeadingPairs>
  <TitlesOfParts>
    <vt:vector size="57" baseType="lpstr">
      <vt:lpstr>Instructions</vt:lpstr>
      <vt:lpstr>Screening questions</vt:lpstr>
      <vt:lpstr>Overview</vt:lpstr>
      <vt:lpstr>Lists</vt:lpstr>
      <vt:lpstr>Matrix</vt:lpstr>
      <vt:lpstr>Basic Assessment (Sample) </vt:lpstr>
      <vt:lpstr>1 - Pre-screening Assessment</vt:lpstr>
      <vt:lpstr>2 - Basic Assessment (Opt 1)</vt:lpstr>
      <vt:lpstr>2 - Basic Assessment (Opt 2)</vt:lpstr>
      <vt:lpstr>2 - Basic Assessement Results</vt:lpstr>
      <vt:lpstr>3 - Detailed Assessment (Opt 1)</vt:lpstr>
      <vt:lpstr>3 - Detailed Assessment (Opt 2)</vt:lpstr>
      <vt:lpstr>3 - Detailed Asessement Results</vt:lpstr>
      <vt:lpstr>Animal_manures_as_residues_from_livestock_processes</vt:lpstr>
      <vt:lpstr>AQ_1</vt:lpstr>
      <vt:lpstr>AQ_2</vt:lpstr>
      <vt:lpstr>AQ_3</vt:lpstr>
      <vt:lpstr>AQ_3A</vt:lpstr>
      <vt:lpstr>Final_Product_type</vt:lpstr>
      <vt:lpstr>Gas</vt:lpstr>
      <vt:lpstr>GHG_1</vt:lpstr>
      <vt:lpstr>GHG_2</vt:lpstr>
      <vt:lpstr>GHG_2A</vt:lpstr>
      <vt:lpstr>GHG_3</vt:lpstr>
      <vt:lpstr>GHG_3A</vt:lpstr>
      <vt:lpstr>HR_1</vt:lpstr>
      <vt:lpstr>HR_1A</vt:lpstr>
      <vt:lpstr>HR_2</vt:lpstr>
      <vt:lpstr>HR_2A</vt:lpstr>
      <vt:lpstr>HR_3</vt:lpstr>
      <vt:lpstr>HR_3A</vt:lpstr>
      <vt:lpstr>HR_4</vt:lpstr>
      <vt:lpstr>HR_5</vt:lpstr>
      <vt:lpstr>HR_5A</vt:lpstr>
      <vt:lpstr>Liquid</vt:lpstr>
      <vt:lpstr>NR_1</vt:lpstr>
      <vt:lpstr>NR_1A</vt:lpstr>
      <vt:lpstr>NR_2</vt:lpstr>
      <vt:lpstr>NR_2A</vt:lpstr>
      <vt:lpstr>NR_3</vt:lpstr>
      <vt:lpstr>NR_3A</vt:lpstr>
      <vt:lpstr>NR_4</vt:lpstr>
      <vt:lpstr>Organic_waste_from_Industries_and_Municipal_Solid_Waste</vt:lpstr>
      <vt:lpstr>Orginal_Biomass_Source</vt:lpstr>
      <vt:lpstr>Primary_products_from_crops_used_for_food_and_energy</vt:lpstr>
      <vt:lpstr>'2 - Basic Assessment (Opt 1)'!Print_Area</vt:lpstr>
      <vt:lpstr>'2 - Basic Assessment (Opt 2)'!Print_Area</vt:lpstr>
      <vt:lpstr>Instructions!Print_Area</vt:lpstr>
      <vt:lpstr>Overview!Print_Area</vt:lpstr>
      <vt:lpstr>SD_1</vt:lpstr>
      <vt:lpstr>SD_1A</vt:lpstr>
      <vt:lpstr>SD_2</vt:lpstr>
      <vt:lpstr>SD_2A</vt:lpstr>
      <vt:lpstr>Solid</vt:lpstr>
      <vt:lpstr>Solid_agricultural_waste</vt:lpstr>
      <vt:lpstr>Solid_wood_and_other_products_extracted_from_forests</vt:lpstr>
      <vt:lpstr>Treatment</vt:lpstr>
    </vt:vector>
  </TitlesOfParts>
  <Manager/>
  <Company>Environmental Resources Management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Lois Sevestre</dc:creator>
  <cp:keywords/>
  <dc:description/>
  <cp:lastModifiedBy>Lois Sevestre</cp:lastModifiedBy>
  <cp:revision/>
  <dcterms:created xsi:type="dcterms:W3CDTF">2023-03-18T08:48:47Z</dcterms:created>
  <dcterms:modified xsi:type="dcterms:W3CDTF">2023-12-04T03:02:00Z</dcterms:modified>
  <cp:category/>
  <cp:contentStatus/>
</cp:coreProperties>
</file>